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6"/>
  </bookViews>
  <sheets>
    <sheet name="一批项目" sheetId="4" r:id="rId1"/>
    <sheet name="第二批" sheetId="2" r:id="rId2"/>
    <sheet name="结余调整" sheetId="10" r:id="rId3"/>
    <sheet name="资金文" sheetId="1" r:id="rId4"/>
    <sheet name="资金支付比率" sheetId="3" r:id="rId5"/>
    <sheet name="调整资金来源附表" sheetId="8" r:id="rId6"/>
    <sheet name="调整资金来源附表 (2)" sheetId="11" r:id="rId7"/>
    <sheet name="二批项目经济分类" sheetId="9" r:id="rId8"/>
    <sheet name="Sheet2" sheetId="6" r:id="rId9"/>
    <sheet name="Sheet4" sheetId="7" r:id="rId10"/>
  </sheets>
  <definedNames>
    <definedName name="_xlnm._FilterDatabase" localSheetId="0" hidden="1">一批项目!$A$6:$AQ$253</definedName>
    <definedName name="_xlnm._FilterDatabase" localSheetId="8" hidden="1">Sheet2!$A$2:$AL$44</definedName>
    <definedName name="_xlnm._FilterDatabase" localSheetId="9" hidden="1">Sheet4!#REF!</definedName>
    <definedName name="_xlnm.Print_Area" localSheetId="3">资金文!$A$1:$AD$12</definedName>
    <definedName name="_xlnm.Print_Area" localSheetId="0">一批项目!$D$243:$AJ$253</definedName>
    <definedName name="补助方式">#REF!</definedName>
    <definedName name="_xlnm.Print_Titles" localSheetId="5">调整资金来源附表!$1:$3</definedName>
    <definedName name="_xlnm.Print_Area" localSheetId="7">二批项目经济分类!$A$2:$R$15</definedName>
    <definedName name="_xlnm.Print_Area" localSheetId="5">调整资金来源附表!$A$1:$P$64</definedName>
    <definedName name="_xlnm.Print_Area" localSheetId="4">资金支付比率!$A$18:$F$31</definedName>
    <definedName name="_xlnm.Print_Titles" localSheetId="6">'调整资金来源附表 (2)'!$2:$4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H6" authorId="0">
      <text>
        <r>
          <rPr>
            <sz val="9"/>
            <rFont val="宋体"/>
            <charset val="134"/>
          </rPr>
          <t>第一次调整：
市级资金91.1715万调整给安全饮水项目</t>
        </r>
      </text>
    </comment>
    <comment ref="Y6" authorId="0">
      <text>
        <r>
          <rPr>
            <sz val="9"/>
            <rFont val="宋体"/>
            <charset val="134"/>
          </rPr>
          <t xml:space="preserve">第一次调整：
烟炕房市级资金91.1715万调整给安全饮水项目
</t>
        </r>
      </text>
    </comment>
    <comment ref="H7" authorId="0">
      <text>
        <r>
          <rPr>
            <sz val="9"/>
            <rFont val="宋体"/>
            <charset val="134"/>
          </rPr>
          <t xml:space="preserve">第一次调整，河街冷库50、陈曹孙村20、五女店刘崔吴20、桂村桂东20、饮水安全308调整给烟炕房418万。
</t>
        </r>
      </text>
    </comment>
    <comment ref="U7" authorId="0">
      <text>
        <r>
          <rPr>
            <sz val="9"/>
            <rFont val="宋体"/>
            <charset val="134"/>
          </rPr>
          <t>第一次调整，调整给烟炕房50万。</t>
        </r>
      </text>
    </comment>
    <comment ref="V7" authorId="0">
      <text>
        <r>
          <rPr>
            <sz val="9"/>
            <rFont val="宋体"/>
            <charset val="134"/>
          </rPr>
          <t xml:space="preserve">第一次调整，调整给烟炕房20万。
</t>
        </r>
      </text>
    </comment>
    <comment ref="W7" authorId="0">
      <text>
        <r>
          <rPr>
            <sz val="9"/>
            <rFont val="宋体"/>
            <charset val="134"/>
          </rPr>
          <t xml:space="preserve">第一次调整，调整给烟炕房20万。
</t>
        </r>
      </text>
    </comment>
    <comment ref="X7" authorId="0">
      <text>
        <r>
          <rPr>
            <sz val="9"/>
            <rFont val="宋体"/>
            <charset val="134"/>
          </rPr>
          <t xml:space="preserve">第一次调整，调整给烟炕房20万。
</t>
        </r>
      </text>
    </comment>
    <comment ref="Y7" authorId="0">
      <text>
        <r>
          <rPr>
            <sz val="9"/>
            <rFont val="宋体"/>
            <charset val="134"/>
          </rPr>
          <t xml:space="preserve">第一次调整，调整给烟炕房308万。
</t>
        </r>
      </text>
    </comment>
    <comment ref="H8" authorId="0">
      <text>
        <r>
          <rPr>
            <sz val="9"/>
            <rFont val="宋体"/>
            <charset val="134"/>
          </rPr>
          <t>第一次调整：饮水安全调整来省级资金96.9421万</t>
        </r>
      </text>
    </comment>
    <comment ref="N8" authorId="0">
      <text>
        <r>
          <rPr>
            <sz val="9"/>
            <rFont val="宋体"/>
            <charset val="134"/>
          </rPr>
          <t>第一次资金调整，安全饮水省级资金调整给秋季雨露计划50万元。</t>
        </r>
      </text>
    </comment>
    <comment ref="Y8" authorId="0">
      <text>
        <r>
          <rPr>
            <sz val="9"/>
            <rFont val="宋体"/>
            <charset val="134"/>
          </rPr>
          <t>第一次调整：调减146.9421万（分给秋季雨露计划50万，分给烟炕房96.9421万）
第二次调整：将安全饮水的省级资金163.0579万元调整给河街腐竹产业园</t>
        </r>
      </text>
    </comment>
    <comment ref="AA8" authorId="0">
      <text>
        <r>
          <rPr>
            <sz val="9"/>
            <rFont val="宋体"/>
            <charset val="134"/>
          </rPr>
          <t xml:space="preserve">第二次调整：将安全饮水的省级资金163.0579万元调整给河街腐竹产业园
</t>
        </r>
      </text>
    </comment>
    <comment ref="AB9" authorId="0">
      <text>
        <r>
          <rPr>
            <sz val="9"/>
            <rFont val="宋体"/>
            <charset val="134"/>
          </rPr>
          <t>第二次调整：将五女店北街冷库的省级资金251.46万元调整给河街腐竹产业园
将河街腐竹产业园的区本级资金251.46万元调整给五女店北街冷库</t>
        </r>
      </text>
    </comment>
    <comment ref="H11" authorId="0">
      <text>
        <r>
          <rPr>
            <sz val="9"/>
            <rFont val="宋体"/>
            <charset val="134"/>
          </rPr>
          <t>第一次调整，区本级资金423.7706万调整给安全饮水项目363.7706万，调整给陈曹孙村20万，调整给五女店刘崔吴20万，调整给桂村桂东20万，</t>
        </r>
      </text>
    </comment>
    <comment ref="N11" authorId="0">
      <text>
        <r>
          <rPr>
            <sz val="9"/>
            <rFont val="宋体"/>
            <charset val="134"/>
          </rPr>
          <t>第一次调整，区本级资金50万调整给安全饮水</t>
        </r>
      </text>
    </comment>
    <comment ref="U11" authorId="0">
      <text>
        <r>
          <rPr>
            <sz val="9"/>
            <rFont val="宋体"/>
            <charset val="134"/>
          </rPr>
          <t>秋季雨露计划调整过来50万区本级资金。</t>
        </r>
      </text>
    </comment>
    <comment ref="V11" authorId="0">
      <text>
        <r>
          <rPr>
            <sz val="9"/>
            <rFont val="宋体"/>
            <charset val="134"/>
          </rPr>
          <t>第一次调整，烟炕房区本级调过来20万</t>
        </r>
      </text>
    </comment>
    <comment ref="W11" authorId="0">
      <text>
        <r>
          <rPr>
            <sz val="9"/>
            <rFont val="宋体"/>
            <charset val="134"/>
          </rPr>
          <t xml:space="preserve">第一次调整，烟炕房区本级调过来20万
</t>
        </r>
      </text>
    </comment>
    <comment ref="X11" authorId="0">
      <text>
        <r>
          <rPr>
            <sz val="9"/>
            <rFont val="宋体"/>
            <charset val="134"/>
          </rPr>
          <t xml:space="preserve">第一次调整，烟炕房区本级调过来20万
</t>
        </r>
      </text>
    </comment>
    <comment ref="Y11" authorId="0">
      <text>
        <r>
          <rPr>
            <sz val="9"/>
            <rFont val="宋体"/>
            <charset val="134"/>
          </rPr>
          <t>第一次调整，烟炕房区本级资金调过来363.7706万
第二次调整：将河街腐竹产业园的区本级资金163.0579万元调整给饮水安全</t>
        </r>
      </text>
    </comment>
    <comment ref="AB11" authorId="0">
      <text>
        <r>
          <rPr>
            <sz val="9"/>
            <rFont val="宋体"/>
            <charset val="134"/>
          </rPr>
          <t>第二次调整：将河街腐竹产业园的区本级资金251.46万元调整给五女店北街冷库</t>
        </r>
      </text>
    </comment>
  </commentList>
</comments>
</file>

<file path=xl/sharedStrings.xml><?xml version="1.0" encoding="utf-8"?>
<sst xmlns="http://schemas.openxmlformats.org/spreadsheetml/2006/main" count="1362" uniqueCount="427">
  <si>
    <t>附件</t>
  </si>
  <si>
    <t>2025年许昌市建安区第一批财政衔接资金项目汇总表</t>
  </si>
  <si>
    <t>序号</t>
  </si>
  <si>
    <t>项目类别</t>
  </si>
  <si>
    <r>
      <rPr>
        <sz val="12"/>
        <rFont val="黑体"/>
        <charset val="134"/>
      </rPr>
      <t>项目</t>
    </r>
    <r>
      <rPr>
        <sz val="12"/>
        <rFont val="黑体"/>
        <charset val="134"/>
      </rPr>
      <t xml:space="preserve">
</t>
    </r>
    <r>
      <rPr>
        <sz val="12"/>
        <rFont val="黑体"/>
        <charset val="134"/>
      </rPr>
      <t>性质</t>
    </r>
  </si>
  <si>
    <t>项目名称</t>
  </si>
  <si>
    <t>项目建设内容</t>
  </si>
  <si>
    <t>项目地址</t>
  </si>
  <si>
    <t>投入资金规模（万元）</t>
  </si>
  <si>
    <t>资金筹措方式</t>
  </si>
  <si>
    <t>受益对象</t>
  </si>
  <si>
    <t>责任单位</t>
  </si>
  <si>
    <t>完成时限</t>
  </si>
  <si>
    <t>绩效目标</t>
  </si>
  <si>
    <t>群众参与</t>
  </si>
  <si>
    <t>联农带农机制</t>
  </si>
  <si>
    <t>备注</t>
  </si>
  <si>
    <t>调整后</t>
  </si>
  <si>
    <t>评审</t>
  </si>
  <si>
    <t>采购</t>
  </si>
  <si>
    <t>中标</t>
  </si>
  <si>
    <t>合同</t>
  </si>
  <si>
    <t>审计</t>
  </si>
  <si>
    <t>发票金额</t>
  </si>
  <si>
    <t>支付金额</t>
  </si>
  <si>
    <t>支付比率</t>
  </si>
  <si>
    <t>支付时间</t>
  </si>
  <si>
    <t>凭证号</t>
  </si>
  <si>
    <t>支付</t>
  </si>
  <si>
    <t>结余</t>
  </si>
  <si>
    <t>合计</t>
  </si>
  <si>
    <t>中央</t>
  </si>
  <si>
    <t>省级</t>
  </si>
  <si>
    <t>市级</t>
  </si>
  <si>
    <t>区级</t>
  </si>
  <si>
    <t>一、产业发展项目</t>
  </si>
  <si>
    <t>一、产业发展类项目</t>
  </si>
  <si>
    <t>中央资金</t>
  </si>
  <si>
    <t>省级资金</t>
  </si>
  <si>
    <t>市级资金</t>
  </si>
  <si>
    <t>区级资金</t>
  </si>
  <si>
    <t>合同结余-总</t>
  </si>
  <si>
    <t>产业发展项目</t>
  </si>
  <si>
    <t>新建</t>
  </si>
  <si>
    <t>椹涧乡黄庙村电烤房建设项目</t>
  </si>
  <si>
    <t>新建电能烤房10座及配套设备</t>
  </si>
  <si>
    <t>椹涧乡黄庙村</t>
  </si>
  <si>
    <t>财政衔接资金</t>
  </si>
  <si>
    <t>区农业农村局、椹涧乡人民政府</t>
  </si>
  <si>
    <t>项目建设不仅起到了减工降本、提质增效、促农增收的作用，也践行了烟叶绿色发展理念</t>
  </si>
  <si>
    <t>是</t>
  </si>
  <si>
    <t>通过项目实施，可产生经济效益，能够带动群众增收致富</t>
  </si>
  <si>
    <t>椹涧乡西耿村电烤房建设项目</t>
  </si>
  <si>
    <t>椹涧乡西耿村</t>
  </si>
  <si>
    <t>椹涧乡时庄村电烤房建设项目</t>
  </si>
  <si>
    <t>椹涧乡时庄村</t>
  </si>
  <si>
    <t>椹涧乡邓辛庄村电烤房建设项目</t>
  </si>
  <si>
    <t>椹涧乡邓辛庄村</t>
  </si>
  <si>
    <t>椹涧乡庙张村电烤房建设项目</t>
  </si>
  <si>
    <t>椹涧乡庙张村</t>
  </si>
  <si>
    <t>椹涧乡任庄村电烤房建设项目</t>
  </si>
  <si>
    <t>椹涧乡任庄村</t>
  </si>
  <si>
    <t>椹涧乡菜园村电烤房建设项目</t>
  </si>
  <si>
    <t>椹涧乡菜园村</t>
  </si>
  <si>
    <t>椹涧乡杨庄村电烤房建设项目</t>
  </si>
  <si>
    <t>椹涧乡杨庄村</t>
  </si>
  <si>
    <t>椹涧乡岗杨村电烤房建设项目</t>
  </si>
  <si>
    <t>椹涧乡岗杨村</t>
  </si>
  <si>
    <t>椹涧乡朱山村电烤房建设项目</t>
  </si>
  <si>
    <t>椹涧乡朱山村</t>
  </si>
  <si>
    <t>榆林乡大岗李村电烤房建设项目</t>
  </si>
  <si>
    <t>榆林乡大岗李村</t>
  </si>
  <si>
    <t>区农业农村局、榆林乡人民政府</t>
  </si>
  <si>
    <t>榆林乡桓坡村电烤房建设项目</t>
  </si>
  <si>
    <t>榆林乡桓坡村</t>
  </si>
  <si>
    <t>榆林乡胡庄村电烤房建设项目</t>
  </si>
  <si>
    <t>榆林乡胡庄村</t>
  </si>
  <si>
    <t>榆林乡白庙黄村电烤房建设项目</t>
  </si>
  <si>
    <t>榆林乡白庙黄村</t>
  </si>
  <si>
    <t>榆林乡姜庄村电烤房建设项目</t>
  </si>
  <si>
    <t>榆林乡姜庄村</t>
  </si>
  <si>
    <t>榆林乡小宋村电烤房建设项目</t>
  </si>
  <si>
    <t>榆林乡小宋村</t>
  </si>
  <si>
    <t>榆林乡柏庄村电烤房建设项目</t>
  </si>
  <si>
    <t>榆林乡柏庄村</t>
  </si>
  <si>
    <t>榆林乡管庄村电烤房建设项目</t>
  </si>
  <si>
    <t>榆林乡管庄村</t>
  </si>
  <si>
    <t>榆林乡岳庄村电烤房建设项目</t>
  </si>
  <si>
    <t>榆林乡岳庄村</t>
  </si>
  <si>
    <t>榆林乡扁担黄村电烤房建设项目</t>
  </si>
  <si>
    <t>榆林乡扁担黄村</t>
  </si>
  <si>
    <t>榆林乡贾庄村电烤房建设项目</t>
  </si>
  <si>
    <t>榆林乡贾庄村</t>
  </si>
  <si>
    <t>榆林乡大魏庄村电烤房建设项目</t>
  </si>
  <si>
    <t>榆林乡大魏庄村</t>
  </si>
  <si>
    <t>蒋李集镇沟张村电烤房建设项目</t>
  </si>
  <si>
    <t>蒋李集镇沟张村</t>
  </si>
  <si>
    <t>区农业农村局、蒋李集镇人民政府</t>
  </si>
  <si>
    <t>蒋李集镇老官赵村电烤房建设项目</t>
  </si>
  <si>
    <t>蒋李集镇老官赵村</t>
  </si>
  <si>
    <t>蒋李集镇孟庄村电烤房建设项目</t>
  </si>
  <si>
    <t>蒋李集镇孟庄村</t>
  </si>
  <si>
    <t>蒋李集镇桃园武村电烤房建设项目</t>
  </si>
  <si>
    <t>蒋李集镇桃园武村</t>
  </si>
  <si>
    <t>蒋李集镇圪垱村电烤房建设项目</t>
  </si>
  <si>
    <t>蒋李集镇圪垱村</t>
  </si>
  <si>
    <t>张潘镇盆李南村电烤房建设项目</t>
  </si>
  <si>
    <t>张潘镇盆李南村</t>
  </si>
  <si>
    <t>区农业农村局、张潘镇人民政府</t>
  </si>
  <si>
    <t>张潘镇门道张村电烤房建设项目</t>
  </si>
  <si>
    <t>张潘镇门道张村</t>
  </si>
  <si>
    <t>张潘镇杨寺村电烤房建设项目</t>
  </si>
  <si>
    <t>张潘镇杨寺村</t>
  </si>
  <si>
    <t>张潘镇城角徐村电烤房建设项目</t>
  </si>
  <si>
    <t>张潘镇城角徐村</t>
  </si>
  <si>
    <t>张潘镇校尉张村电烤房建设项目</t>
  </si>
  <si>
    <t>张潘镇校尉张村</t>
  </si>
  <si>
    <t>张潘镇张四村电烤房建设项目</t>
  </si>
  <si>
    <t>张潘镇张四村</t>
  </si>
  <si>
    <t>张潘镇水田村电烤房建设项目</t>
  </si>
  <si>
    <t>张潘镇水田村</t>
  </si>
  <si>
    <t>五女店镇周店村电烤房建设项目</t>
  </si>
  <si>
    <t>五女店镇北街村</t>
  </si>
  <si>
    <t>区农业农村局、五女店镇人民政府</t>
  </si>
  <si>
    <t>五女店镇柏茗村电烤房建设项目</t>
  </si>
  <si>
    <t>五女店镇柏茗村</t>
  </si>
  <si>
    <t>五女店镇刘崔吴村电烤房建设项目</t>
  </si>
  <si>
    <t>五女店镇刘崔吴村</t>
  </si>
  <si>
    <t>陈曹乡杨刘村电烤房建设项目</t>
  </si>
  <si>
    <t>陈曹乡杨刘村</t>
  </si>
  <si>
    <t>区农业农村局、陈曹乡人民政府</t>
  </si>
  <si>
    <t>陈曹乡邹家村电烤房建设项目</t>
  </si>
  <si>
    <t>新建电能烤房30座及配套设备</t>
  </si>
  <si>
    <t>陈曹乡邹家村</t>
  </si>
  <si>
    <t>陈曹乡袁庄村电烤房建设项目</t>
  </si>
  <si>
    <t>陈曹乡袁庄村</t>
  </si>
  <si>
    <t>将官池镇秋湖村电烤房建设项目</t>
  </si>
  <si>
    <t>将官池镇秋湖村</t>
  </si>
  <si>
    <t>区农业农村局、将官池镇人民政府</t>
  </si>
  <si>
    <t>将官池镇湖徐村电烤房建设项目</t>
  </si>
  <si>
    <t>将官池镇湖徐村</t>
  </si>
  <si>
    <t>河街乡大路李村电烤房建设项目</t>
  </si>
  <si>
    <t>新建电能烤房20座及配套设备</t>
  </si>
  <si>
    <t>河街乡大路李村</t>
  </si>
  <si>
    <t>区农业农村局、河街乡人民政府</t>
  </si>
  <si>
    <t>桂村乡周沟村电烤房建设项目</t>
  </si>
  <si>
    <t>桂村乡周沟村</t>
  </si>
  <si>
    <t>区农业农村局、桂村乡人民政府</t>
  </si>
  <si>
    <t>桂村乡吕庄村电烤房建设项目</t>
  </si>
  <si>
    <t>桂村乡吕庄村</t>
  </si>
  <si>
    <t>桂村乡老岗杨村电烤房建设项目</t>
  </si>
  <si>
    <t>桂村乡老岗杨村</t>
  </si>
  <si>
    <t>桂村乡周胡村电烤房建设项目</t>
  </si>
  <si>
    <t>桂村乡周胡村</t>
  </si>
  <si>
    <t>灵井镇老关赵村电烤房建设项目</t>
  </si>
  <si>
    <t>灵井镇老关赵村</t>
  </si>
  <si>
    <t>区农业农村局、灵井镇人民政府</t>
  </si>
  <si>
    <t>灵井镇纸张村电烤房建设项目</t>
  </si>
  <si>
    <t>灵井镇纸张村</t>
  </si>
  <si>
    <t>灵井镇陈庄村电烤房建设项目</t>
  </si>
  <si>
    <t>灵井镇陈庄村</t>
  </si>
  <si>
    <t>苏桥镇侯王村电烤房建设项目</t>
  </si>
  <si>
    <t>苏桥镇侯王村</t>
  </si>
  <si>
    <t>区农业农村局、苏桥镇人民政府</t>
  </si>
  <si>
    <t>苏桥镇王彦庄村电烤房建设项目</t>
  </si>
  <si>
    <t>苏桥镇王彦庄村</t>
  </si>
  <si>
    <t>小召乡绰韩村电烤房建设项目</t>
  </si>
  <si>
    <t>小召乡绰韩村</t>
  </si>
  <si>
    <t>区农业农村局、小召乡人民政府</t>
  </si>
  <si>
    <t>艾庄乡艾庄社区购买农业机械项目</t>
  </si>
  <si>
    <t>建设内容：购买雷沃2004-5G拖拉机（2台）、龙丰犁（2台）、1GKN-280旋耕机（1台）、4G-220B还田机（1台）。</t>
  </si>
  <si>
    <t>艾庄乡艾庄社区</t>
  </si>
  <si>
    <t>区民宗局</t>
  </si>
  <si>
    <t>推动乡村振兴产业发展，提升村集体造血功能，优先为低收入人群提供服务，增加村集体收入</t>
  </si>
  <si>
    <t>增加村集体经济收入</t>
  </si>
  <si>
    <t>少数民族发展资金</t>
  </si>
  <si>
    <t>艾庄乡艾庄社区社区工厂配套厂房建设项目（原农机变更为社区工厂）</t>
  </si>
  <si>
    <t>陈曹乡许东村排水沟项目（原陈曹乡许东村购买农业机械项目变更为排水沟项目）</t>
  </si>
  <si>
    <t>建设内容：购买玉米收割机一台。</t>
  </si>
  <si>
    <t>陈曹乡许东村</t>
  </si>
  <si>
    <t>2025年金融贴息项目</t>
  </si>
  <si>
    <t>用于全区符合条件脱贫享受政策户及监测户家庭进行金融贴息。</t>
  </si>
  <si>
    <t>全区范围</t>
  </si>
  <si>
    <t>区金融局</t>
  </si>
  <si>
    <t>调动金融机构、企业和农户参与的积极性</t>
  </si>
  <si>
    <t>带动全区低收入人群增收</t>
  </si>
  <si>
    <t>金融办实施</t>
  </si>
  <si>
    <t>二、乡村建设行动</t>
  </si>
  <si>
    <t>二、乡村建设行动项目</t>
  </si>
  <si>
    <t>乡村建设行动</t>
  </si>
  <si>
    <t>陈曹乡许东村村内道路建设项目</t>
  </si>
  <si>
    <t>村内道路建设：宽3米，长650米，厚0.15米</t>
  </si>
  <si>
    <t>区农业农村局、陈曹乡政府</t>
  </si>
  <si>
    <t>巩固拓展脱贫攻坚成果，补齐村内基础设施短板。加快乡村振兴建设步伐</t>
  </si>
  <si>
    <t>全村受益，改善全村村内交通状况</t>
  </si>
  <si>
    <t>省派第一书记资金</t>
  </si>
  <si>
    <t>三、就业创业项目</t>
  </si>
  <si>
    <t>就业创业项目</t>
  </si>
  <si>
    <t>2025年跨省就业一次性交通补助项目</t>
  </si>
  <si>
    <t>用于脱贫人口及监测对象跨省就业交通补助项目</t>
  </si>
  <si>
    <t>区人社局</t>
  </si>
  <si>
    <t>用于脱贫享受政策户及监测对象享受的的就业帮扶政策</t>
  </si>
  <si>
    <t>人社局实施</t>
  </si>
  <si>
    <t>2025年脱贫劳动力就业培训项目</t>
  </si>
  <si>
    <t>用于脱贫劳动力人人持证就业培训</t>
  </si>
  <si>
    <t>动全区低收入人群技能提升</t>
  </si>
  <si>
    <t>2025年雨露计划项目（2024年秋季补助发放）</t>
  </si>
  <si>
    <t>全区符合条件的脱贫享受政策户及监测户家庭高职高专、中职中专类院校在校生进行补助，短期技能培训补助</t>
  </si>
  <si>
    <t>区农业农村局</t>
  </si>
  <si>
    <t>为中、高等职业教育在校脱贫享受政策户及监测户家庭子女提供补助；增强低收入家庭创业脱贫致富能力</t>
  </si>
  <si>
    <t>政策扶持、巩固拓展脱贫攻坚成果</t>
  </si>
  <si>
    <t>2025年雨露计划项目（2025年春季补助发放）</t>
  </si>
  <si>
    <t>四、项目管理费</t>
  </si>
  <si>
    <t>项目管理费</t>
  </si>
  <si>
    <t>2025年市派第一书记经费项目</t>
  </si>
  <si>
    <t>20个市派第一书记工作经费，每人2万元</t>
  </si>
  <si>
    <t>市派第一书记所在村</t>
  </si>
  <si>
    <t>支持20个市派第一书记驻村开展工作，巩固脱贫成果推进乡村振兴</t>
  </si>
  <si>
    <t>支持驻村第一书记开展工作，巩固脱贫成果推进乡村振兴</t>
  </si>
  <si>
    <t>2025年区派第一书记经费项目</t>
  </si>
  <si>
    <t>30个区派第一书记工作经费，每人1万元</t>
  </si>
  <si>
    <t>区派第一书记所在村</t>
  </si>
  <si>
    <t>支持30个区派第一书记驻村开展工作，巩固脱贫成果推进乡村振兴</t>
  </si>
  <si>
    <t>2025年项目建设管理费</t>
  </si>
  <si>
    <t>用于对项目设计、预算、监理、验收、公示公告等费用</t>
  </si>
  <si>
    <t>电烤房设计费</t>
  </si>
  <si>
    <t>河南兴华电力设计有限公司</t>
  </si>
  <si>
    <t>电烤房监理费</t>
  </si>
  <si>
    <t>河南霖磐工程管理咨询有限公司</t>
  </si>
  <si>
    <r>
      <rPr>
        <sz val="11"/>
        <rFont val="宋体"/>
        <charset val="134"/>
      </rPr>
      <t>中央</t>
    </r>
  </si>
  <si>
    <r>
      <rPr>
        <sz val="11"/>
        <rFont val="宋体"/>
        <charset val="134"/>
      </rPr>
      <t>省</t>
    </r>
  </si>
  <si>
    <r>
      <rPr>
        <sz val="11"/>
        <rFont val="宋体"/>
        <charset val="134"/>
      </rPr>
      <t>市</t>
    </r>
  </si>
  <si>
    <r>
      <rPr>
        <sz val="11"/>
        <rFont val="宋体"/>
        <charset val="134"/>
      </rPr>
      <t>区</t>
    </r>
  </si>
  <si>
    <t>产业项目</t>
  </si>
  <si>
    <r>
      <rPr>
        <sz val="12"/>
        <rFont val="Times New Roman"/>
        <charset val="0"/>
      </rPr>
      <t>2130505</t>
    </r>
    <r>
      <rPr>
        <sz val="12"/>
        <rFont val="宋体"/>
        <charset val="134"/>
      </rPr>
      <t>生产发展</t>
    </r>
  </si>
  <si>
    <r>
      <rPr>
        <sz val="12"/>
        <rFont val="Times New Roman"/>
        <charset val="0"/>
      </rPr>
      <t>50301</t>
    </r>
    <r>
      <rPr>
        <sz val="12"/>
        <rFont val="宋体"/>
        <charset val="134"/>
      </rPr>
      <t>房屋建筑物购建</t>
    </r>
    <r>
      <rPr>
        <sz val="12"/>
        <rFont val="Times New Roman"/>
        <charset val="0"/>
      </rPr>
      <t xml:space="preserve">
31001</t>
    </r>
    <r>
      <rPr>
        <sz val="12"/>
        <rFont val="宋体"/>
        <charset val="134"/>
      </rPr>
      <t>房屋建筑物构建</t>
    </r>
  </si>
  <si>
    <t>道路</t>
  </si>
  <si>
    <r>
      <rPr>
        <sz val="12"/>
        <rFont val="Times New Roman"/>
        <charset val="0"/>
      </rPr>
      <t>2130504</t>
    </r>
    <r>
      <rPr>
        <sz val="12"/>
        <rFont val="宋体"/>
        <charset val="134"/>
      </rPr>
      <t>农村基础设施建设</t>
    </r>
  </si>
  <si>
    <r>
      <rPr>
        <sz val="12"/>
        <rFont val="Times New Roman"/>
        <charset val="0"/>
      </rPr>
      <t>50302</t>
    </r>
    <r>
      <rPr>
        <sz val="12"/>
        <rFont val="宋体"/>
        <charset val="134"/>
      </rPr>
      <t>基础设施建设</t>
    </r>
    <r>
      <rPr>
        <sz val="12"/>
        <rFont val="Times New Roman"/>
        <charset val="0"/>
      </rPr>
      <t xml:space="preserve">
31005</t>
    </r>
    <r>
      <rPr>
        <sz val="12"/>
        <rFont val="宋体"/>
        <charset val="134"/>
      </rPr>
      <t>基础设施建设</t>
    </r>
  </si>
  <si>
    <t>农机采购</t>
  </si>
  <si>
    <r>
      <rPr>
        <sz val="12"/>
        <rFont val="Times New Roman"/>
        <charset val="0"/>
      </rPr>
      <t>50306</t>
    </r>
    <r>
      <rPr>
        <sz val="12"/>
        <rFont val="宋体"/>
        <charset val="134"/>
      </rPr>
      <t>设备购置</t>
    </r>
    <r>
      <rPr>
        <sz val="12"/>
        <rFont val="Times New Roman"/>
        <charset val="0"/>
      </rPr>
      <t xml:space="preserve">
31003</t>
    </r>
    <r>
      <rPr>
        <sz val="12"/>
        <rFont val="宋体"/>
        <charset val="134"/>
      </rPr>
      <t>专用设备购置</t>
    </r>
  </si>
  <si>
    <t>其中民宗委中央47万+省级15万</t>
  </si>
  <si>
    <t>第一书记</t>
  </si>
  <si>
    <r>
      <rPr>
        <sz val="12"/>
        <rFont val="Times New Roman"/>
        <charset val="0"/>
      </rPr>
      <t>50299</t>
    </r>
    <r>
      <rPr>
        <sz val="12"/>
        <rFont val="宋体"/>
        <charset val="134"/>
      </rPr>
      <t>其他商品和服务支出</t>
    </r>
    <r>
      <rPr>
        <sz val="12"/>
        <rFont val="Times New Roman"/>
        <charset val="0"/>
      </rPr>
      <t xml:space="preserve">
30299</t>
    </r>
    <r>
      <rPr>
        <sz val="12"/>
        <rFont val="宋体"/>
        <charset val="134"/>
      </rPr>
      <t>其他商品和服务支出</t>
    </r>
  </si>
  <si>
    <t>雨露计划</t>
  </si>
  <si>
    <r>
      <rPr>
        <sz val="12"/>
        <rFont val="Times New Roman"/>
        <charset val="0"/>
      </rPr>
      <t>2130506</t>
    </r>
    <r>
      <rPr>
        <sz val="12"/>
        <rFont val="宋体"/>
        <charset val="0"/>
      </rPr>
      <t>社会发展</t>
    </r>
  </si>
  <si>
    <r>
      <rPr>
        <sz val="12"/>
        <rFont val="Times New Roman"/>
        <charset val="0"/>
      </rPr>
      <t>50902</t>
    </r>
    <r>
      <rPr>
        <sz val="12"/>
        <rFont val="宋体"/>
        <charset val="134"/>
      </rPr>
      <t>助学金</t>
    </r>
    <r>
      <rPr>
        <sz val="12"/>
        <rFont val="Times New Roman"/>
        <charset val="0"/>
      </rPr>
      <t xml:space="preserve">
30308</t>
    </r>
    <r>
      <rPr>
        <sz val="12"/>
        <rFont val="宋体"/>
        <charset val="134"/>
      </rPr>
      <t>助学金</t>
    </r>
  </si>
  <si>
    <t>金融贴息 就业创业</t>
  </si>
  <si>
    <r>
      <rPr>
        <sz val="12"/>
        <rFont val="Times New Roman"/>
        <charset val="0"/>
      </rPr>
      <t>2130507</t>
    </r>
    <r>
      <rPr>
        <sz val="12"/>
        <rFont val="宋体"/>
        <charset val="134"/>
      </rPr>
      <t>贷款奖补和贴息</t>
    </r>
  </si>
  <si>
    <r>
      <rPr>
        <sz val="12"/>
        <rFont val="Times New Roman"/>
        <charset val="0"/>
      </rPr>
      <t>50999</t>
    </r>
    <r>
      <rPr>
        <sz val="12"/>
        <rFont val="宋体"/>
        <charset val="134"/>
      </rPr>
      <t>其他对个人和家庭补助</t>
    </r>
    <r>
      <rPr>
        <sz val="12"/>
        <rFont val="Times New Roman"/>
        <charset val="0"/>
      </rPr>
      <t xml:space="preserve">
30399</t>
    </r>
    <r>
      <rPr>
        <sz val="12"/>
        <rFont val="宋体"/>
        <charset val="134"/>
      </rPr>
      <t>其他对个人和家庭的补助</t>
    </r>
  </si>
  <si>
    <t>跨省就业一次性交通补助项目</t>
  </si>
  <si>
    <t>2130599其他巩固脱贫衔接乡村振兴支出</t>
  </si>
  <si>
    <t>50901社会福利和救助
30305生活补助</t>
  </si>
  <si>
    <t>脱贫劳动力就业培训</t>
  </si>
  <si>
    <t xml:space="preserve">2025年许昌市建安区第二批财政衔接资金项目汇总表 </t>
  </si>
  <si>
    <t xml:space="preserve"> 完成时限                                                                        </t>
  </si>
  <si>
    <t>许昌市建安区椹涧乡岗杨村微生态共享农场项目</t>
  </si>
  <si>
    <t>土地整理与设施建设，农具采购</t>
  </si>
  <si>
    <t>椹涧乡人民政府</t>
  </si>
  <si>
    <t>推动乡村振兴产业发展，提升村集体造血功能，优先为低收入人群提供服务，增加村集体收入。</t>
  </si>
  <si>
    <t>通过项目实施，可产生经济效益，能够带动群众增收致富。</t>
  </si>
  <si>
    <t>省派第一书记资金项目</t>
  </si>
  <si>
    <t>2025年河街乡冷库配套设施项目</t>
  </si>
  <si>
    <t>围墙258米，地坪到了1330平方米</t>
  </si>
  <si>
    <t>河街乡付庄村</t>
  </si>
  <si>
    <t>河街乡人民政府</t>
  </si>
  <si>
    <t>建安区陈曹乡孙村村田园共享项目</t>
  </si>
  <si>
    <t>每个项目占地10亩，及配套设施</t>
  </si>
  <si>
    <t>陈曹乡孙村村</t>
  </si>
  <si>
    <t>陈曹乡人民政府</t>
  </si>
  <si>
    <t>建安区五女店刘崔吴村田园共享项目</t>
  </si>
  <si>
    <t>五女店刘崔吴村</t>
  </si>
  <si>
    <t>五女店镇人民政府</t>
  </si>
  <si>
    <t>建安区桂村乡桂东村田园共享项目</t>
  </si>
  <si>
    <t>桂村乡桂东村</t>
  </si>
  <si>
    <t>桂村乡人民政府</t>
  </si>
  <si>
    <t>饮水安全提升项目</t>
  </si>
  <si>
    <t>有巩固拓展脱贫攻坚成果同乡村振兴有效衔接任务的22个行政村更换老旧管件，提升供水质量。</t>
  </si>
  <si>
    <t>区水利局</t>
  </si>
  <si>
    <t>解决农村饮水安全工程老化造成的跑冒滴漏问题，提高供水保障能力，促进社会安定和谐，同时为集体经济发展提供充足的供水保障。</t>
  </si>
  <si>
    <t>追加2025年跨省就业一次性交通补助项目</t>
  </si>
  <si>
    <t>河街乡腐竹加工厂项目</t>
  </si>
  <si>
    <t>新建2个标准化厂房，主体钢结构2层，总建筑面积16200平方米。</t>
  </si>
  <si>
    <t>河街乡陈胡社区</t>
  </si>
  <si>
    <t>批复</t>
  </si>
  <si>
    <t>小计</t>
  </si>
  <si>
    <t>第一批烟炕房结余</t>
  </si>
  <si>
    <t>调整</t>
  </si>
  <si>
    <t>区本级</t>
  </si>
  <si>
    <t>烟炕房</t>
  </si>
  <si>
    <t>艾庄社区农机</t>
  </si>
  <si>
    <t>陈曹许东农机</t>
  </si>
  <si>
    <t>陈曹许东道路</t>
  </si>
  <si>
    <t>人社局跨省就业</t>
  </si>
  <si>
    <t>脱贫劳动力培训</t>
  </si>
  <si>
    <t>秋季雨露计划</t>
  </si>
  <si>
    <t>春季雨露计划</t>
  </si>
  <si>
    <t>金融贴息</t>
  </si>
  <si>
    <t>市派书记</t>
  </si>
  <si>
    <t>区派书记</t>
  </si>
  <si>
    <t>椹涧乡岗杨村微生态</t>
  </si>
  <si>
    <t>河街乡冷库配套</t>
  </si>
  <si>
    <t>陈曹乡孙村田园共享</t>
  </si>
  <si>
    <t>五女店刘崔吴村田园共享</t>
  </si>
  <si>
    <t>桂村乡桂东村田园共享</t>
  </si>
  <si>
    <t>追加跨省就业</t>
  </si>
  <si>
    <t>区本级河街腐竹产业园</t>
  </si>
  <si>
    <t>五女店北街冷库</t>
  </si>
  <si>
    <t>许昌市财政局许昌市民族宗教事务局关于提前下达 2025年财政衔接推进乡村振兴补助资金(少数民族发展任务)预算的通知</t>
  </si>
  <si>
    <t>许财农〔2024〕46号
2024-12-9</t>
  </si>
  <si>
    <t>许昌市财政局许昌市农业农村局 关于提前下达 2025 年中央和省级财政衔接推进乡村振兴补助资金(巩固拓展脱贫攻坚成果和乡村振兴任务)预算的通知</t>
  </si>
  <si>
    <t>许财农〔2024〕45号
2024-12-9</t>
  </si>
  <si>
    <t>许昌市财政局许昌市农业农村局关于提前下达 2025年市级财政衔接推进乡村振兴补助资金预算的通知</t>
  </si>
  <si>
    <t>许财农〔2024〕44号
2024-12-24</t>
  </si>
  <si>
    <t>许昌市财政局许昌市农业农村局关于下达 2025年中央和省级财政衔接推进乡村振兴补助资金(巩固拓展脱贫攻坚成果和乡村振兴任务)预算的通知</t>
  </si>
  <si>
    <t>许财农〔2025〕10号
2025-5-15</t>
  </si>
  <si>
    <t>许昌市财政局关于下达 2025年第二批省级财政衔接推进乡村振兴补助资金(巩固拓展脱贫攻坚成果和乡村振兴任务)预算的通知</t>
  </si>
  <si>
    <t>许财农〔2025〕31号
2025-9-24</t>
  </si>
  <si>
    <t>许昌市财政局许昌市农业农村局关于下达2025年第二批市级财政衔接推进乡村振兴补助资金的通知</t>
  </si>
  <si>
    <t>许财农〔2025〕37号
2025-10-24</t>
  </si>
  <si>
    <t>2025年区级配套街接乡村振兴资金</t>
  </si>
  <si>
    <t>建安财预〔2025〕1号</t>
  </si>
  <si>
    <t>省</t>
  </si>
  <si>
    <t>市</t>
  </si>
  <si>
    <t>区</t>
  </si>
  <si>
    <t>中省资金支付比率</t>
  </si>
  <si>
    <t>烟炕房30%</t>
  </si>
  <si>
    <r>
      <rPr>
        <sz val="12"/>
        <rFont val="宋体"/>
        <charset val="134"/>
      </rPr>
      <t>总下达</t>
    </r>
    <r>
      <rPr>
        <sz val="8"/>
        <rFont val="宋体"/>
        <charset val="134"/>
      </rPr>
      <t>（万元）</t>
    </r>
  </si>
  <si>
    <t>烟炕房67%</t>
  </si>
  <si>
    <r>
      <rPr>
        <sz val="12"/>
        <rFont val="宋体"/>
        <charset val="134"/>
      </rPr>
      <t>已支付</t>
    </r>
    <r>
      <rPr>
        <sz val="8"/>
        <rFont val="宋体"/>
        <charset val="134"/>
      </rPr>
      <t>（万元）</t>
    </r>
  </si>
  <si>
    <t>烟炕房78%</t>
  </si>
  <si>
    <r>
      <rPr>
        <sz val="12"/>
        <rFont val="宋体"/>
        <charset val="134"/>
      </rPr>
      <t>本次支付</t>
    </r>
    <r>
      <rPr>
        <sz val="8"/>
        <rFont val="宋体"/>
        <charset val="134"/>
      </rPr>
      <t>（万元）</t>
    </r>
  </si>
  <si>
    <t>支付后比率</t>
  </si>
  <si>
    <t>河街腐竹厂预付</t>
  </si>
  <si>
    <t>本次支付</t>
  </si>
  <si>
    <t>1、河街腐竹厂预付款</t>
  </si>
  <si>
    <t>烟炕房设计费</t>
  </si>
  <si>
    <t>2、陈曹许东道路</t>
  </si>
  <si>
    <t>烟炕房监理费</t>
  </si>
  <si>
    <t>3、烟炕房设计费</t>
  </si>
  <si>
    <t>民宗委农机采购</t>
  </si>
  <si>
    <t>人社局跨省就业补贴</t>
  </si>
  <si>
    <t>支付合计</t>
  </si>
  <si>
    <t>4、烟炕房监理费</t>
  </si>
  <si>
    <t>下达</t>
  </si>
  <si>
    <t>已支付</t>
  </si>
  <si>
    <t>已支付比例</t>
  </si>
  <si>
    <t>待支付</t>
  </si>
  <si>
    <t>民宗委</t>
  </si>
  <si>
    <t>陈曹许东变更排水沟</t>
  </si>
  <si>
    <t>雨露计划结余</t>
  </si>
  <si>
    <t>许东道路结余</t>
  </si>
  <si>
    <t>椹涧乡岗杨农场</t>
  </si>
  <si>
    <t>2025年建安区衔接资金项目第一批及第二批资金调整来源汇总表</t>
  </si>
  <si>
    <t>批复金额（单位：万元）</t>
  </si>
  <si>
    <t>本次调整（单位：万元）</t>
  </si>
  <si>
    <t>调整后金额（单位：万元）</t>
  </si>
  <si>
    <t>县级资金</t>
  </si>
  <si>
    <r>
      <rPr>
        <sz val="10"/>
        <rFont val="Calibri"/>
        <charset val="134"/>
      </rPr>
      <t>2025</t>
    </r>
    <r>
      <rPr>
        <sz val="10"/>
        <rFont val="宋体"/>
        <charset val="134"/>
      </rPr>
      <t>年椹涧乡黄庙村电烤房建设项目</t>
    </r>
  </si>
  <si>
    <r>
      <rPr>
        <sz val="10"/>
        <rFont val="Calibri"/>
        <charset val="134"/>
      </rPr>
      <t>2025</t>
    </r>
    <r>
      <rPr>
        <sz val="10"/>
        <rFont val="宋体"/>
        <charset val="134"/>
      </rPr>
      <t>年椹涧乡西耿村电烤房建设项目</t>
    </r>
  </si>
  <si>
    <r>
      <rPr>
        <sz val="10"/>
        <rFont val="Calibri"/>
        <charset val="134"/>
      </rPr>
      <t>2025</t>
    </r>
    <r>
      <rPr>
        <sz val="10"/>
        <rFont val="宋体"/>
        <charset val="134"/>
      </rPr>
      <t>年椹涧乡时庄村电烤房建设项目</t>
    </r>
  </si>
  <si>
    <r>
      <rPr>
        <sz val="10"/>
        <rFont val="Calibri"/>
        <charset val="134"/>
      </rPr>
      <t>2025</t>
    </r>
    <r>
      <rPr>
        <sz val="10"/>
        <rFont val="宋体"/>
        <charset val="134"/>
      </rPr>
      <t>年椹涧乡邓辛庄村电烤房建设项目</t>
    </r>
  </si>
  <si>
    <r>
      <rPr>
        <sz val="10"/>
        <rFont val="Calibri"/>
        <charset val="134"/>
      </rPr>
      <t>2025</t>
    </r>
    <r>
      <rPr>
        <sz val="10"/>
        <rFont val="宋体"/>
        <charset val="134"/>
      </rPr>
      <t>年椹涧乡庙张村电烤房建设项目</t>
    </r>
  </si>
  <si>
    <r>
      <rPr>
        <sz val="10"/>
        <rFont val="Calibri"/>
        <charset val="134"/>
      </rPr>
      <t>2025</t>
    </r>
    <r>
      <rPr>
        <sz val="10"/>
        <rFont val="宋体"/>
        <charset val="134"/>
      </rPr>
      <t>年椹涧乡任庄村电烤房建设项目</t>
    </r>
  </si>
  <si>
    <r>
      <rPr>
        <sz val="10"/>
        <rFont val="Calibri"/>
        <charset val="134"/>
      </rPr>
      <t>2025</t>
    </r>
    <r>
      <rPr>
        <sz val="10"/>
        <rFont val="宋体"/>
        <charset val="134"/>
      </rPr>
      <t>年椹涧乡菜园村电烤房建设项目</t>
    </r>
  </si>
  <si>
    <r>
      <rPr>
        <sz val="10"/>
        <rFont val="Calibri"/>
        <charset val="134"/>
      </rPr>
      <t>2025</t>
    </r>
    <r>
      <rPr>
        <sz val="10"/>
        <rFont val="宋体"/>
        <charset val="134"/>
      </rPr>
      <t>年椹涧乡杨庄村电烤房建设项目</t>
    </r>
  </si>
  <si>
    <r>
      <rPr>
        <sz val="10"/>
        <rFont val="Calibri"/>
        <charset val="134"/>
      </rPr>
      <t>2025</t>
    </r>
    <r>
      <rPr>
        <sz val="10"/>
        <rFont val="宋体"/>
        <charset val="134"/>
      </rPr>
      <t>年椹涧乡岗杨村电烤房建设项目</t>
    </r>
  </si>
  <si>
    <r>
      <rPr>
        <sz val="10"/>
        <rFont val="Calibri"/>
        <charset val="134"/>
      </rPr>
      <t>2025</t>
    </r>
    <r>
      <rPr>
        <sz val="10"/>
        <rFont val="宋体"/>
        <charset val="134"/>
      </rPr>
      <t>年椹涧乡朱山村电烤房建设项目</t>
    </r>
  </si>
  <si>
    <r>
      <rPr>
        <sz val="10"/>
        <rFont val="Calibri"/>
        <charset val="134"/>
      </rPr>
      <t>2025</t>
    </r>
    <r>
      <rPr>
        <sz val="10"/>
        <rFont val="宋体"/>
        <charset val="134"/>
      </rPr>
      <t>年榆林乡大岗李村电烤房建设项目</t>
    </r>
  </si>
  <si>
    <r>
      <rPr>
        <sz val="10"/>
        <rFont val="Calibri"/>
        <charset val="134"/>
      </rPr>
      <t>2025</t>
    </r>
    <r>
      <rPr>
        <sz val="10"/>
        <rFont val="宋体"/>
        <charset val="134"/>
      </rPr>
      <t>年榆林乡桓坡村电烤房建设项目</t>
    </r>
  </si>
  <si>
    <r>
      <rPr>
        <sz val="10"/>
        <rFont val="Calibri"/>
        <charset val="134"/>
      </rPr>
      <t>2025</t>
    </r>
    <r>
      <rPr>
        <sz val="10"/>
        <rFont val="宋体"/>
        <charset val="134"/>
      </rPr>
      <t>年榆林乡胡庄村电烤房建设项目</t>
    </r>
  </si>
  <si>
    <r>
      <rPr>
        <sz val="10"/>
        <rFont val="Calibri"/>
        <charset val="134"/>
      </rPr>
      <t>2025</t>
    </r>
    <r>
      <rPr>
        <sz val="10"/>
        <rFont val="宋体"/>
        <charset val="134"/>
      </rPr>
      <t>年榆林乡白庙黄村电烤房建设项目</t>
    </r>
  </si>
  <si>
    <r>
      <rPr>
        <sz val="10"/>
        <rFont val="Calibri"/>
        <charset val="134"/>
      </rPr>
      <t>2025</t>
    </r>
    <r>
      <rPr>
        <sz val="10"/>
        <rFont val="宋体"/>
        <charset val="134"/>
      </rPr>
      <t>年榆林乡姜庄村电烤房建设项目</t>
    </r>
  </si>
  <si>
    <r>
      <rPr>
        <sz val="10"/>
        <rFont val="Calibri"/>
        <charset val="134"/>
      </rPr>
      <t>2025</t>
    </r>
    <r>
      <rPr>
        <sz val="10"/>
        <rFont val="宋体"/>
        <charset val="134"/>
      </rPr>
      <t>年榆林乡小宋村电烤房建设项目</t>
    </r>
  </si>
  <si>
    <r>
      <rPr>
        <sz val="10"/>
        <rFont val="Calibri"/>
        <charset val="134"/>
      </rPr>
      <t>2025</t>
    </r>
    <r>
      <rPr>
        <sz val="10"/>
        <rFont val="宋体"/>
        <charset val="134"/>
      </rPr>
      <t>年榆林乡柏庄村电烤房建设项目</t>
    </r>
  </si>
  <si>
    <r>
      <rPr>
        <sz val="10"/>
        <rFont val="Calibri"/>
        <charset val="134"/>
      </rPr>
      <t>2025</t>
    </r>
    <r>
      <rPr>
        <sz val="10"/>
        <rFont val="宋体"/>
        <charset val="134"/>
      </rPr>
      <t>年榆林乡管庄村电烤房建设项目</t>
    </r>
  </si>
  <si>
    <r>
      <rPr>
        <sz val="10"/>
        <rFont val="Calibri"/>
        <charset val="134"/>
      </rPr>
      <t>2025</t>
    </r>
    <r>
      <rPr>
        <sz val="10"/>
        <rFont val="宋体"/>
        <charset val="134"/>
      </rPr>
      <t>年榆林乡岳庄村电烤房建设项目</t>
    </r>
  </si>
  <si>
    <r>
      <rPr>
        <sz val="10"/>
        <rFont val="Calibri"/>
        <charset val="134"/>
      </rPr>
      <t>2025</t>
    </r>
    <r>
      <rPr>
        <sz val="10"/>
        <rFont val="宋体"/>
        <charset val="134"/>
      </rPr>
      <t>年榆林乡扁担黄村电烤房建设项目</t>
    </r>
  </si>
  <si>
    <r>
      <rPr>
        <sz val="10"/>
        <rFont val="Calibri"/>
        <charset val="134"/>
      </rPr>
      <t>2025</t>
    </r>
    <r>
      <rPr>
        <sz val="10"/>
        <rFont val="宋体"/>
        <charset val="134"/>
      </rPr>
      <t>年榆林乡贾庄村电烤房建设项目</t>
    </r>
  </si>
  <si>
    <r>
      <rPr>
        <sz val="10"/>
        <rFont val="Calibri"/>
        <charset val="134"/>
      </rPr>
      <t>2025</t>
    </r>
    <r>
      <rPr>
        <sz val="10"/>
        <rFont val="宋体"/>
        <charset val="134"/>
      </rPr>
      <t>年榆林乡大魏庄村电烤房建设项目</t>
    </r>
  </si>
  <si>
    <r>
      <rPr>
        <sz val="10"/>
        <rFont val="Calibri"/>
        <charset val="134"/>
      </rPr>
      <t>2025</t>
    </r>
    <r>
      <rPr>
        <sz val="10"/>
        <rFont val="宋体"/>
        <charset val="134"/>
      </rPr>
      <t>年蒋李集镇沟张村电烤房建设项目</t>
    </r>
  </si>
  <si>
    <r>
      <rPr>
        <sz val="10"/>
        <rFont val="Calibri"/>
        <charset val="134"/>
      </rPr>
      <t>2025</t>
    </r>
    <r>
      <rPr>
        <sz val="10"/>
        <rFont val="宋体"/>
        <charset val="134"/>
      </rPr>
      <t>年蒋李集镇老官赵村电烤房建设项目</t>
    </r>
  </si>
  <si>
    <r>
      <rPr>
        <sz val="10"/>
        <rFont val="Calibri"/>
        <charset val="134"/>
      </rPr>
      <t>2025</t>
    </r>
    <r>
      <rPr>
        <sz val="10"/>
        <rFont val="宋体"/>
        <charset val="134"/>
      </rPr>
      <t>年蒋李集镇孟庄村电烤房建设项目</t>
    </r>
  </si>
  <si>
    <r>
      <rPr>
        <sz val="10"/>
        <rFont val="Calibri"/>
        <charset val="134"/>
      </rPr>
      <t>2025</t>
    </r>
    <r>
      <rPr>
        <sz val="10"/>
        <rFont val="宋体"/>
        <charset val="134"/>
      </rPr>
      <t>年蒋李集镇桃园武村电烤房建设项目</t>
    </r>
  </si>
  <si>
    <r>
      <rPr>
        <sz val="10"/>
        <rFont val="Calibri"/>
        <charset val="134"/>
      </rPr>
      <t>2025</t>
    </r>
    <r>
      <rPr>
        <sz val="10"/>
        <rFont val="宋体"/>
        <charset val="134"/>
      </rPr>
      <t>年蒋李集镇圪垱村电烤房建设项目</t>
    </r>
  </si>
  <si>
    <r>
      <rPr>
        <sz val="10"/>
        <rFont val="Calibri"/>
        <charset val="134"/>
      </rPr>
      <t>2025</t>
    </r>
    <r>
      <rPr>
        <sz val="10"/>
        <rFont val="宋体"/>
        <charset val="134"/>
      </rPr>
      <t>年张潘镇杨寺村电烤房建设项目</t>
    </r>
  </si>
  <si>
    <t>2025年张潘镇盆李南村电烤房建设项目</t>
  </si>
  <si>
    <t>2025年张潘镇门道张村电烤房建设项目</t>
  </si>
  <si>
    <r>
      <rPr>
        <sz val="10"/>
        <rFont val="Calibri"/>
        <charset val="134"/>
      </rPr>
      <t>2025</t>
    </r>
    <r>
      <rPr>
        <sz val="10"/>
        <rFont val="宋体"/>
        <charset val="134"/>
      </rPr>
      <t>年张潘镇城角徐村电烤房建设项目</t>
    </r>
  </si>
  <si>
    <r>
      <rPr>
        <sz val="10"/>
        <rFont val="Calibri"/>
        <charset val="134"/>
      </rPr>
      <t>2025</t>
    </r>
    <r>
      <rPr>
        <sz val="10"/>
        <rFont val="宋体"/>
        <charset val="134"/>
      </rPr>
      <t>年张潘镇校尉张村电烤房建设项目</t>
    </r>
  </si>
  <si>
    <r>
      <rPr>
        <sz val="10"/>
        <rFont val="Calibri"/>
        <charset val="134"/>
      </rPr>
      <t>2025</t>
    </r>
    <r>
      <rPr>
        <sz val="10"/>
        <rFont val="宋体"/>
        <charset val="134"/>
      </rPr>
      <t>年张潘镇张四村电烤房建设项目</t>
    </r>
  </si>
  <si>
    <r>
      <rPr>
        <sz val="10"/>
        <rFont val="Calibri"/>
        <charset val="134"/>
      </rPr>
      <t>2025</t>
    </r>
    <r>
      <rPr>
        <sz val="10"/>
        <rFont val="宋体"/>
        <charset val="134"/>
      </rPr>
      <t>年张潘镇水田村电烤房建设项目</t>
    </r>
  </si>
  <si>
    <r>
      <rPr>
        <sz val="10"/>
        <rFont val="Calibri"/>
        <charset val="134"/>
      </rPr>
      <t>2025</t>
    </r>
    <r>
      <rPr>
        <sz val="10"/>
        <rFont val="宋体"/>
        <charset val="134"/>
      </rPr>
      <t>年五女店镇周店村电烤房建设项目</t>
    </r>
  </si>
  <si>
    <r>
      <rPr>
        <sz val="10"/>
        <rFont val="Calibri"/>
        <charset val="134"/>
      </rPr>
      <t>2025</t>
    </r>
    <r>
      <rPr>
        <sz val="10"/>
        <rFont val="宋体"/>
        <charset val="134"/>
      </rPr>
      <t>年五女店镇柏茗村电烤房建设项目</t>
    </r>
  </si>
  <si>
    <r>
      <rPr>
        <sz val="10"/>
        <rFont val="Calibri"/>
        <charset val="134"/>
      </rPr>
      <t>2025</t>
    </r>
    <r>
      <rPr>
        <sz val="10"/>
        <rFont val="宋体"/>
        <charset val="134"/>
      </rPr>
      <t>年五女店镇刘崔吴村电烤房建设项目</t>
    </r>
  </si>
  <si>
    <r>
      <rPr>
        <sz val="10"/>
        <rFont val="Calibri"/>
        <charset val="134"/>
      </rPr>
      <t>2025</t>
    </r>
    <r>
      <rPr>
        <sz val="10"/>
        <rFont val="宋体"/>
        <charset val="134"/>
      </rPr>
      <t>年陈曹乡杨刘村电烤房建设项目</t>
    </r>
  </si>
  <si>
    <r>
      <rPr>
        <sz val="10"/>
        <rFont val="Calibri"/>
        <charset val="134"/>
      </rPr>
      <t>2025</t>
    </r>
    <r>
      <rPr>
        <sz val="10"/>
        <rFont val="宋体"/>
        <charset val="134"/>
      </rPr>
      <t>年陈曹乡邹家村电烤房建设项目</t>
    </r>
  </si>
  <si>
    <r>
      <rPr>
        <sz val="10"/>
        <rFont val="Calibri"/>
        <charset val="134"/>
      </rPr>
      <t>2025</t>
    </r>
    <r>
      <rPr>
        <sz val="10"/>
        <rFont val="宋体"/>
        <charset val="134"/>
      </rPr>
      <t>年陈曹乡袁庄村电烤房建设项目</t>
    </r>
  </si>
  <si>
    <r>
      <rPr>
        <sz val="10"/>
        <rFont val="Calibri"/>
        <charset val="134"/>
      </rPr>
      <t>2025</t>
    </r>
    <r>
      <rPr>
        <sz val="10"/>
        <rFont val="宋体"/>
        <charset val="134"/>
      </rPr>
      <t>年将官池镇秋湖村电烤房建设项目</t>
    </r>
  </si>
  <si>
    <r>
      <rPr>
        <sz val="10"/>
        <rFont val="Calibri"/>
        <charset val="134"/>
      </rPr>
      <t>2025</t>
    </r>
    <r>
      <rPr>
        <sz val="10"/>
        <rFont val="宋体"/>
        <charset val="134"/>
      </rPr>
      <t>年将官池镇湖徐村电烤房建设项目</t>
    </r>
  </si>
  <si>
    <r>
      <rPr>
        <sz val="10"/>
        <rFont val="Calibri"/>
        <charset val="134"/>
      </rPr>
      <t>2025</t>
    </r>
    <r>
      <rPr>
        <sz val="10"/>
        <rFont val="宋体"/>
        <charset val="134"/>
      </rPr>
      <t>年河街乡大路李村电烤房建设项目</t>
    </r>
  </si>
  <si>
    <r>
      <rPr>
        <sz val="10"/>
        <rFont val="Calibri"/>
        <charset val="134"/>
      </rPr>
      <t>2025</t>
    </r>
    <r>
      <rPr>
        <sz val="10"/>
        <rFont val="宋体"/>
        <charset val="134"/>
      </rPr>
      <t>年桂村乡周沟村电烤房建设项目</t>
    </r>
  </si>
  <si>
    <r>
      <rPr>
        <sz val="10"/>
        <rFont val="Calibri"/>
        <charset val="134"/>
      </rPr>
      <t>2025</t>
    </r>
    <r>
      <rPr>
        <sz val="10"/>
        <rFont val="宋体"/>
        <charset val="134"/>
      </rPr>
      <t>年桂村乡吕庄村电烤房建设项目</t>
    </r>
  </si>
  <si>
    <r>
      <rPr>
        <sz val="10"/>
        <rFont val="Calibri"/>
        <charset val="134"/>
      </rPr>
      <t>2025</t>
    </r>
    <r>
      <rPr>
        <sz val="10"/>
        <rFont val="宋体"/>
        <charset val="134"/>
      </rPr>
      <t>年桂村乡老岗杨村电烤房建设项目</t>
    </r>
  </si>
  <si>
    <r>
      <rPr>
        <sz val="10"/>
        <rFont val="Calibri"/>
        <charset val="134"/>
      </rPr>
      <t>2025</t>
    </r>
    <r>
      <rPr>
        <sz val="10"/>
        <rFont val="宋体"/>
        <charset val="134"/>
      </rPr>
      <t>年桂村乡周胡村电烤房建设项目</t>
    </r>
  </si>
  <si>
    <r>
      <rPr>
        <sz val="10"/>
        <rFont val="Calibri"/>
        <charset val="134"/>
      </rPr>
      <t>2025</t>
    </r>
    <r>
      <rPr>
        <sz val="10"/>
        <rFont val="宋体"/>
        <charset val="134"/>
      </rPr>
      <t>年灵井镇老关赵村电烤房建设项目</t>
    </r>
  </si>
  <si>
    <r>
      <rPr>
        <sz val="10"/>
        <rFont val="Calibri"/>
        <charset val="134"/>
      </rPr>
      <t>2025</t>
    </r>
    <r>
      <rPr>
        <sz val="10"/>
        <rFont val="宋体"/>
        <charset val="134"/>
      </rPr>
      <t>年灵井镇纸张村电烤房建设项目</t>
    </r>
  </si>
  <si>
    <r>
      <rPr>
        <sz val="10"/>
        <rFont val="Calibri"/>
        <charset val="134"/>
      </rPr>
      <t>2025</t>
    </r>
    <r>
      <rPr>
        <sz val="10"/>
        <rFont val="宋体"/>
        <charset val="134"/>
      </rPr>
      <t>年灵井镇陈庄村电烤房建设项目</t>
    </r>
  </si>
  <si>
    <r>
      <rPr>
        <sz val="10"/>
        <rFont val="Calibri"/>
        <charset val="134"/>
      </rPr>
      <t>2025</t>
    </r>
    <r>
      <rPr>
        <sz val="10"/>
        <rFont val="宋体"/>
        <charset val="134"/>
      </rPr>
      <t>年苏桥镇侯王村电烤房建设项目</t>
    </r>
  </si>
  <si>
    <r>
      <rPr>
        <sz val="10"/>
        <rFont val="Calibri"/>
        <charset val="134"/>
      </rPr>
      <t>2025</t>
    </r>
    <r>
      <rPr>
        <sz val="10"/>
        <rFont val="宋体"/>
        <charset val="134"/>
      </rPr>
      <t>年苏桥镇王彦庄村电烤房建设项目</t>
    </r>
  </si>
  <si>
    <r>
      <rPr>
        <sz val="10"/>
        <rFont val="Calibri"/>
        <charset val="134"/>
      </rPr>
      <t>2025</t>
    </r>
    <r>
      <rPr>
        <sz val="10"/>
        <rFont val="宋体"/>
        <charset val="134"/>
      </rPr>
      <t>年小召乡绰韩村电烤房建设项目</t>
    </r>
  </si>
  <si>
    <r>
      <rPr>
        <sz val="10"/>
        <rFont val="Calibri"/>
        <charset val="134"/>
      </rPr>
      <t>2025</t>
    </r>
    <r>
      <rPr>
        <sz val="10"/>
        <rFont val="宋体"/>
        <charset val="134"/>
      </rPr>
      <t>年雨露计划项目（</t>
    </r>
    <r>
      <rPr>
        <sz val="10"/>
        <rFont val="Calibri"/>
        <charset val="134"/>
      </rPr>
      <t>2024</t>
    </r>
    <r>
      <rPr>
        <sz val="10"/>
        <rFont val="宋体"/>
        <charset val="134"/>
      </rPr>
      <t>年秋季补助发放）</t>
    </r>
  </si>
  <si>
    <r>
      <rPr>
        <sz val="10"/>
        <rFont val="Calibri"/>
        <charset val="134"/>
      </rPr>
      <t>2025</t>
    </r>
    <r>
      <rPr>
        <sz val="10"/>
        <rFont val="宋体"/>
        <charset val="134"/>
      </rPr>
      <t>年河街乡冷库配套设施项目</t>
    </r>
  </si>
  <si>
    <t>建安区五女店老庄陈村田园共享项目</t>
  </si>
  <si>
    <t>2025-10-30第二次调整</t>
  </si>
  <si>
    <t>河街腐竹产业园</t>
  </si>
  <si>
    <t>附件1</t>
  </si>
  <si>
    <t>2025年建安区衔接资金项目第一批及第二批资金合同结余调整来源汇总表</t>
  </si>
  <si>
    <t>河街乡腐竹加工厂</t>
  </si>
  <si>
    <t>中标结余资金小计</t>
  </si>
  <si>
    <r>
      <rPr>
        <sz val="12"/>
        <rFont val="Times New Roman"/>
        <charset val="0"/>
      </rPr>
      <t>2130505</t>
    </r>
    <r>
      <rPr>
        <sz val="12"/>
        <rFont val="宋体"/>
        <charset val="0"/>
      </rPr>
      <t>生产发展</t>
    </r>
  </si>
  <si>
    <t>31099其他基本建设支出 50399其他资本性支出</t>
  </si>
  <si>
    <r>
      <rPr>
        <sz val="12"/>
        <rFont val="Times New Roman"/>
        <charset val="0"/>
      </rPr>
      <t>50302</t>
    </r>
    <r>
      <rPr>
        <sz val="12"/>
        <rFont val="宋体"/>
        <charset val="0"/>
      </rPr>
      <t>基础设施建设</t>
    </r>
    <r>
      <rPr>
        <sz val="12"/>
        <rFont val="Times New Roman"/>
        <charset val="0"/>
      </rPr>
      <t xml:space="preserve">
31005</t>
    </r>
    <r>
      <rPr>
        <sz val="12"/>
        <rFont val="宋体"/>
        <charset val="0"/>
      </rPr>
      <t>基础设施建设</t>
    </r>
  </si>
  <si>
    <t>2130505生产发展</t>
  </si>
  <si>
    <r>
      <rPr>
        <sz val="12"/>
        <rFont val="Times New Roman"/>
        <charset val="0"/>
      </rPr>
      <t>2130504</t>
    </r>
    <r>
      <rPr>
        <sz val="12"/>
        <rFont val="宋体"/>
        <charset val="0"/>
      </rPr>
      <t>农村基础设施建设</t>
    </r>
  </si>
  <si>
    <t>陈曹乡许东村购买农业机械项目</t>
  </si>
  <si>
    <r>
      <rPr>
        <sz val="12"/>
        <rFont val="Times New Roman"/>
        <charset val="0"/>
      </rPr>
      <t>2130506</t>
    </r>
    <r>
      <rPr>
        <sz val="12"/>
        <rFont val="宋体"/>
        <charset val="134"/>
      </rPr>
      <t>社会发展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</si>
</sst>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s>
  <fonts count="42">
    <font>
      <sz val="12"/>
      <name val="宋体"/>
      <charset val="134"/>
    </font>
    <font>
      <sz val="11"/>
      <name val="宋体"/>
      <charset val="134"/>
    </font>
    <font>
      <sz val="11"/>
      <name val="Times New Roman"/>
      <charset val="0"/>
    </font>
    <font>
      <sz val="11"/>
      <name val="仿宋_GB2312"/>
      <charset val="134"/>
    </font>
    <font>
      <sz val="12"/>
      <name val="仿宋_GB2312"/>
      <charset val="134"/>
    </font>
    <font>
      <sz val="12"/>
      <name val="Times New Roman"/>
      <charset val="0"/>
    </font>
    <font>
      <sz val="11"/>
      <name val="黑体"/>
      <charset val="134"/>
    </font>
    <font>
      <sz val="11"/>
      <name val="Arial"/>
      <charset val="0"/>
    </font>
    <font>
      <sz val="12"/>
      <name val="黑体"/>
      <charset val="134"/>
    </font>
    <font>
      <sz val="12"/>
      <name val="Arial"/>
      <charset val="0"/>
    </font>
    <font>
      <sz val="10"/>
      <name val="黑体"/>
      <charset val="134"/>
    </font>
    <font>
      <sz val="24"/>
      <name val="方正小标宋简体"/>
      <charset val="134"/>
    </font>
    <font>
      <sz val="10"/>
      <name val="宋体"/>
      <charset val="134"/>
    </font>
    <font>
      <sz val="10"/>
      <name val="Calibri"/>
      <charset val="134"/>
    </font>
    <font>
      <sz val="9"/>
      <name val="宋体"/>
      <charset val="134"/>
    </font>
    <font>
      <b/>
      <sz val="12"/>
      <name val="宋体"/>
      <charset val="134"/>
    </font>
    <font>
      <b/>
      <sz val="10"/>
      <name val="宋体"/>
      <charset val="134"/>
    </font>
    <font>
      <b/>
      <sz val="12"/>
      <name val="黑体"/>
      <charset val="134"/>
    </font>
    <font>
      <sz val="24"/>
      <name val="Times New Roman"/>
      <charset val="0"/>
    </font>
    <font>
      <sz val="11"/>
      <name val="黑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8"/>
      <name val="宋体"/>
      <charset val="134"/>
    </font>
    <font>
      <sz val="12"/>
      <name val="宋体"/>
      <charset val="0"/>
    </font>
    <font>
      <sz val="9"/>
      <name val="宋体"/>
      <charset val="134"/>
    </font>
  </fonts>
  <fills count="43">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theme="6" tint="0.8"/>
        <bgColor indexed="64"/>
      </patternFill>
    </fill>
    <fill>
      <patternFill patternType="solid">
        <fgColor theme="7" tint="0.8"/>
        <bgColor indexed="64"/>
      </patternFill>
    </fill>
    <fill>
      <patternFill patternType="solid">
        <fgColor theme="2"/>
        <bgColor indexed="64"/>
      </patternFill>
    </fill>
    <fill>
      <patternFill patternType="solid">
        <fgColor theme="5" tint="0.8"/>
        <bgColor indexed="64"/>
      </patternFill>
    </fill>
    <fill>
      <patternFill patternType="solid">
        <fgColor theme="9" tint="0.8"/>
        <bgColor indexed="64"/>
      </patternFill>
    </fill>
    <fill>
      <patternFill patternType="solid">
        <fgColor theme="6" tint="0.799981688894314"/>
        <bgColor indexed="64"/>
      </patternFill>
    </fill>
    <fill>
      <patternFill patternType="solid">
        <fgColor theme="0" tint="-0.0499893185216834"/>
        <bgColor indexed="64"/>
      </patternFill>
    </fill>
    <fill>
      <patternFill patternType="solid">
        <fgColor theme="0" tint="-0.05"/>
        <bgColor indexed="64"/>
      </patternFill>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auto="1"/>
      </right>
      <top style="thin">
        <color auto="1"/>
      </top>
      <bottom/>
      <diagonal/>
    </border>
    <border>
      <left style="thin">
        <color auto="1"/>
      </left>
      <right style="thin">
        <color auto="1"/>
      </right>
      <top/>
      <bottom/>
      <diagonal/>
    </border>
    <border>
      <left style="thin">
        <color indexed="8"/>
      </left>
      <right style="thin">
        <color auto="1"/>
      </right>
      <top/>
      <bottom/>
      <diagonal/>
    </border>
    <border>
      <left style="thin">
        <color auto="1"/>
      </left>
      <right style="thin">
        <color auto="1"/>
      </right>
      <top/>
      <bottom style="thin">
        <color auto="1"/>
      </bottom>
      <diagonal/>
    </border>
    <border>
      <left style="thin">
        <color indexed="8"/>
      </left>
      <right style="thin">
        <color auto="1"/>
      </right>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top/>
      <bottom/>
      <diagonal/>
    </border>
    <border>
      <left/>
      <right style="thin">
        <color auto="1"/>
      </right>
      <top/>
      <bottom/>
      <diagonal/>
    </border>
    <border>
      <left style="thin">
        <color indexed="8"/>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top style="thin">
        <color auto="1"/>
      </top>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auto="1"/>
      </top>
      <bottom/>
      <diagonal/>
    </border>
    <border>
      <left style="thin">
        <color auto="1"/>
      </left>
      <right style="thin">
        <color auto="1"/>
      </right>
      <top style="thin">
        <color indexed="8"/>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indexed="8"/>
      </top>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thin">
        <color auto="1"/>
      </right>
      <top style="thin">
        <color indexed="8"/>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13" borderId="4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8" applyNumberFormat="0" applyFill="0" applyAlignment="0" applyProtection="0">
      <alignment vertical="center"/>
    </xf>
    <xf numFmtId="0" fontId="26" fillId="0" borderId="49" applyNumberFormat="0" applyFill="0" applyAlignment="0" applyProtection="0">
      <alignment vertical="center"/>
    </xf>
    <xf numFmtId="0" fontId="27" fillId="0" borderId="50" applyNumberFormat="0" applyFill="0" applyAlignment="0" applyProtection="0">
      <alignment vertical="center"/>
    </xf>
    <xf numFmtId="0" fontId="27" fillId="0" borderId="0" applyNumberFormat="0" applyFill="0" applyBorder="0" applyAlignment="0" applyProtection="0">
      <alignment vertical="center"/>
    </xf>
    <xf numFmtId="0" fontId="28" fillId="14" borderId="51" applyNumberFormat="0" applyAlignment="0" applyProtection="0">
      <alignment vertical="center"/>
    </xf>
    <xf numFmtId="0" fontId="29" fillId="15" borderId="52" applyNumberFormat="0" applyAlignment="0" applyProtection="0">
      <alignment vertical="center"/>
    </xf>
    <xf numFmtId="0" fontId="30" fillId="15" borderId="51" applyNumberFormat="0" applyAlignment="0" applyProtection="0">
      <alignment vertical="center"/>
    </xf>
    <xf numFmtId="0" fontId="31" fillId="16" borderId="53" applyNumberFormat="0" applyAlignment="0" applyProtection="0">
      <alignment vertical="center"/>
    </xf>
    <xf numFmtId="0" fontId="32" fillId="0" borderId="54" applyNumberFormat="0" applyFill="0" applyAlignment="0" applyProtection="0">
      <alignment vertical="center"/>
    </xf>
    <xf numFmtId="0" fontId="33" fillId="0" borderId="55"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8" fillId="9"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38" fillId="38" borderId="0" applyNumberFormat="0" applyBorder="0" applyAlignment="0" applyProtection="0">
      <alignment vertical="center"/>
    </xf>
    <xf numFmtId="0" fontId="37" fillId="39" borderId="0" applyNumberFormat="0" applyBorder="0" applyAlignment="0" applyProtection="0">
      <alignment vertical="center"/>
    </xf>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cellStyleXfs>
  <cellXfs count="29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justify" vertical="center" wrapText="1"/>
    </xf>
    <xf numFmtId="0" fontId="5" fillId="0" borderId="0" xfId="0" applyFont="1" applyFill="1" applyAlignment="1">
      <alignment vertical="center"/>
    </xf>
    <xf numFmtId="0" fontId="5"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justify" vertical="center"/>
    </xf>
    <xf numFmtId="10" fontId="1" fillId="0" borderId="0" xfId="0" applyNumberFormat="1" applyFont="1" applyFill="1" applyAlignment="1">
      <alignment vertical="center"/>
    </xf>
    <xf numFmtId="0" fontId="6" fillId="0" borderId="0" xfId="0"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57" fontId="6" fillId="0" borderId="2" xfId="0" applyNumberFormat="1"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justify" vertical="center" wrapText="1"/>
    </xf>
    <xf numFmtId="0" fontId="6" fillId="0" borderId="3"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vertical="center"/>
    </xf>
    <xf numFmtId="10" fontId="1" fillId="0" borderId="2" xfId="0" applyNumberFormat="1" applyFont="1" applyFill="1" applyBorder="1" applyAlignment="1">
      <alignment vertical="center"/>
    </xf>
    <xf numFmtId="0" fontId="1" fillId="0" borderId="3" xfId="0" applyFont="1" applyFill="1" applyBorder="1" applyAlignment="1">
      <alignment vertical="center"/>
    </xf>
    <xf numFmtId="0"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justify" vertical="center" wrapText="1"/>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xf>
    <xf numFmtId="0"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57" fontId="6" fillId="0" borderId="3" xfId="0" applyNumberFormat="1" applyFont="1" applyFill="1" applyBorder="1" applyAlignment="1">
      <alignment horizontal="center" vertical="center"/>
    </xf>
    <xf numFmtId="0" fontId="6" fillId="0" borderId="4" xfId="0" applyFont="1" applyFill="1" applyBorder="1" applyAlignment="1">
      <alignment horizontal="justify" vertical="center" wrapText="1"/>
    </xf>
    <xf numFmtId="0" fontId="6" fillId="0" borderId="3" xfId="0" applyFont="1" applyFill="1" applyBorder="1" applyAlignment="1">
      <alignment horizontal="center" vertical="center" wrapText="1"/>
    </xf>
    <xf numFmtId="57" fontId="6" fillId="0" borderId="2"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1" xfId="0" applyFont="1" applyFill="1" applyBorder="1" applyAlignment="1">
      <alignment horizontal="justify"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23" xfId="0" applyFont="1" applyFill="1" applyBorder="1" applyAlignment="1">
      <alignment horizontal="justify" vertical="center" wrapText="1"/>
    </xf>
    <xf numFmtId="0" fontId="6" fillId="0" borderId="24" xfId="0" applyFont="1" applyFill="1" applyBorder="1" applyAlignment="1">
      <alignment horizontal="justify" vertical="center" wrapText="1"/>
    </xf>
    <xf numFmtId="0" fontId="6" fillId="0" borderId="3" xfId="0" applyFont="1" applyFill="1" applyBorder="1" applyAlignment="1">
      <alignment horizontal="center" vertical="center"/>
    </xf>
    <xf numFmtId="0" fontId="6" fillId="0" borderId="2" xfId="0" applyFont="1" applyFill="1" applyBorder="1" applyAlignment="1">
      <alignment vertical="center" wrapText="1"/>
    </xf>
    <xf numFmtId="0" fontId="6" fillId="0" borderId="4" xfId="0" applyFont="1" applyFill="1" applyBorder="1" applyAlignment="1">
      <alignment horizontal="justify" vertical="center"/>
    </xf>
    <xf numFmtId="0" fontId="6"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23" xfId="0" applyFont="1" applyFill="1" applyBorder="1" applyAlignment="1">
      <alignment vertical="center"/>
    </xf>
    <xf numFmtId="10" fontId="1" fillId="0" borderId="23" xfId="0" applyNumberFormat="1" applyFont="1" applyFill="1" applyBorder="1" applyAlignment="1">
      <alignment vertical="center"/>
    </xf>
    <xf numFmtId="0" fontId="1" fillId="0" borderId="25" xfId="0" applyFont="1" applyFill="1" applyBorder="1" applyAlignment="1">
      <alignment vertical="center"/>
    </xf>
    <xf numFmtId="0" fontId="6" fillId="0" borderId="23" xfId="0" applyFont="1" applyFill="1" applyBorder="1" applyAlignment="1">
      <alignment vertical="center" wrapText="1"/>
    </xf>
    <xf numFmtId="0" fontId="7" fillId="0" borderId="0" xfId="0" applyFont="1" applyFill="1" applyAlignment="1">
      <alignment horizontal="center" vertical="center"/>
    </xf>
    <xf numFmtId="0" fontId="0" fillId="0" borderId="2" xfId="0" applyFont="1" applyFill="1" applyBorder="1" applyAlignment="1">
      <alignment horizontal="right" vertical="center" wrapText="1"/>
    </xf>
    <xf numFmtId="0" fontId="5" fillId="0" borderId="2" xfId="0" applyFont="1" applyFill="1" applyBorder="1" applyAlignment="1">
      <alignment horizontal="center" vertical="center"/>
    </xf>
    <xf numFmtId="43" fontId="5" fillId="0" borderId="2" xfId="0" applyNumberFormat="1" applyFont="1" applyFill="1" applyBorder="1" applyAlignment="1">
      <alignment horizontal="center" vertical="center" wrapText="1"/>
    </xf>
    <xf numFmtId="43" fontId="5" fillId="0" borderId="4" xfId="0" applyNumberFormat="1" applyFont="1" applyFill="1" applyBorder="1" applyAlignment="1">
      <alignment horizontal="center" vertical="center" wrapText="1"/>
    </xf>
    <xf numFmtId="0" fontId="0" fillId="0" borderId="27" xfId="0" applyFont="1" applyFill="1" applyBorder="1" applyAlignment="1">
      <alignment horizontal="center" vertical="center" wrapText="1"/>
    </xf>
    <xf numFmtId="10" fontId="0" fillId="0" borderId="27" xfId="0" applyNumberFormat="1" applyFont="1" applyFill="1" applyBorder="1" applyAlignment="1">
      <alignment horizontal="center" vertical="center" wrapText="1"/>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0" fillId="0" borderId="2" xfId="0" applyFont="1" applyFill="1" applyBorder="1" applyAlignment="1">
      <alignment horizontal="center" vertical="center" wrapText="1"/>
    </xf>
    <xf numFmtId="10"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5" fillId="0" borderId="1" xfId="0" applyFont="1" applyFill="1" applyBorder="1" applyAlignment="1">
      <alignment horizontal="center" vertical="center"/>
    </xf>
    <xf numFmtId="43" fontId="5" fillId="0" borderId="1" xfId="0" applyNumberFormat="1" applyFont="1" applyFill="1" applyBorder="1" applyAlignment="1">
      <alignment horizontal="center" vertical="center" wrapText="1"/>
    </xf>
    <xf numFmtId="43" fontId="5" fillId="0" borderId="29"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justify" vertical="center"/>
    </xf>
    <xf numFmtId="0" fontId="8" fillId="0" borderId="2" xfId="0" applyFont="1" applyFill="1" applyBorder="1" applyAlignment="1">
      <alignment horizontal="right" vertical="center"/>
    </xf>
    <xf numFmtId="0" fontId="8" fillId="0" borderId="2" xfId="0" applyFont="1" applyFill="1" applyBorder="1" applyAlignment="1">
      <alignment horizontal="center" vertical="center"/>
    </xf>
    <xf numFmtId="10" fontId="8" fillId="0" borderId="2" xfId="0" applyNumberFormat="1" applyFont="1" applyFill="1" applyBorder="1" applyAlignment="1">
      <alignment horizontal="center" vertical="center"/>
    </xf>
    <xf numFmtId="0" fontId="8" fillId="0" borderId="26" xfId="0" applyFont="1" applyFill="1" applyBorder="1" applyAlignment="1">
      <alignment horizontal="right" vertical="center"/>
    </xf>
    <xf numFmtId="0" fontId="8" fillId="0" borderId="14" xfId="0" applyFont="1" applyFill="1" applyBorder="1" applyAlignment="1">
      <alignment horizontal="center" vertical="center" wrapText="1"/>
    </xf>
    <xf numFmtId="0" fontId="8" fillId="0" borderId="2" xfId="0"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43" fontId="8" fillId="0" borderId="2" xfId="0" applyNumberFormat="1" applyFont="1" applyFill="1" applyBorder="1" applyAlignment="1">
      <alignment horizontal="center" vertical="center"/>
    </xf>
    <xf numFmtId="43" fontId="8" fillId="0" borderId="4" xfId="0" applyNumberFormat="1" applyFont="1" applyFill="1" applyBorder="1" applyAlignment="1">
      <alignment horizontal="center" vertical="center"/>
    </xf>
    <xf numFmtId="0" fontId="8" fillId="0" borderId="30" xfId="0" applyFont="1" applyFill="1" applyBorder="1" applyAlignment="1">
      <alignment horizontal="right" vertical="center"/>
    </xf>
    <xf numFmtId="0" fontId="8" fillId="0" borderId="26" xfId="0" applyFont="1" applyFill="1" applyBorder="1" applyAlignment="1">
      <alignment horizontal="center" vertical="center"/>
    </xf>
    <xf numFmtId="0" fontId="8" fillId="0" borderId="23" xfId="0" applyFont="1" applyFill="1" applyBorder="1" applyAlignment="1">
      <alignment horizontal="center" vertical="center"/>
    </xf>
    <xf numFmtId="0" fontId="5" fillId="0" borderId="23" xfId="0" applyFont="1" applyFill="1" applyBorder="1" applyAlignment="1">
      <alignment vertical="center" wrapText="1"/>
    </xf>
    <xf numFmtId="0" fontId="1" fillId="0" borderId="23" xfId="0" applyFont="1" applyFill="1" applyBorder="1" applyAlignment="1">
      <alignment horizontal="center" vertical="center"/>
    </xf>
    <xf numFmtId="0" fontId="1" fillId="0" borderId="23" xfId="0" applyFont="1" applyFill="1" applyBorder="1" applyAlignment="1">
      <alignment horizontal="justify" vertical="center"/>
    </xf>
    <xf numFmtId="43" fontId="5" fillId="0" borderId="23" xfId="0" applyNumberFormat="1" applyFont="1" applyFill="1" applyBorder="1" applyAlignment="1">
      <alignment horizontal="center" vertical="center" wrapText="1"/>
    </xf>
    <xf numFmtId="43" fontId="5" fillId="0" borderId="24"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 fillId="0" borderId="26" xfId="0" applyFont="1" applyFill="1" applyBorder="1" applyAlignment="1">
      <alignment horizontal="center" vertical="center"/>
    </xf>
    <xf numFmtId="10" fontId="1" fillId="0" borderId="23" xfId="0" applyNumberFormat="1" applyFont="1" applyFill="1" applyBorder="1" applyAlignment="1">
      <alignment horizontal="center" vertical="center"/>
    </xf>
    <xf numFmtId="0" fontId="7" fillId="0" borderId="23" xfId="0" applyFont="1" applyFill="1" applyBorder="1" applyAlignment="1">
      <alignment horizontal="center" vertical="center"/>
    </xf>
    <xf numFmtId="0" fontId="7" fillId="0" borderId="25" xfId="0" applyFont="1" applyFill="1" applyBorder="1" applyAlignment="1">
      <alignment horizontal="center" vertical="center"/>
    </xf>
    <xf numFmtId="0" fontId="8" fillId="0" borderId="0" xfId="0" applyFont="1" applyFill="1" applyAlignment="1">
      <alignment vertical="center"/>
    </xf>
    <xf numFmtId="0" fontId="10" fillId="0" borderId="0" xfId="0" applyFont="1" applyFill="1" applyAlignment="1">
      <alignment vertical="center"/>
    </xf>
    <xf numFmtId="0" fontId="11" fillId="0" borderId="0" xfId="0" applyNumberFormat="1" applyFont="1" applyFill="1" applyAlignment="1">
      <alignment horizontal="center" vertical="center" wrapText="1"/>
    </xf>
    <xf numFmtId="0" fontId="8" fillId="0" borderId="32"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8"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6" fillId="0" borderId="21" xfId="0" applyNumberFormat="1" applyFont="1" applyFill="1" applyBorder="1" applyAlignment="1" applyProtection="1">
      <alignment horizontal="center" vertical="center" wrapText="1"/>
    </xf>
    <xf numFmtId="0" fontId="6" fillId="0" borderId="33" xfId="0" applyNumberFormat="1" applyFont="1" applyFill="1" applyBorder="1" applyAlignment="1" applyProtection="1">
      <alignment horizontal="center" vertical="center" wrapText="1"/>
    </xf>
    <xf numFmtId="0" fontId="6" fillId="0" borderId="22"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13"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6" fillId="0" borderId="2" xfId="0" applyFont="1" applyBorder="1" applyAlignment="1">
      <alignment horizontal="center" vertical="center"/>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12" fillId="0" borderId="2" xfId="0" applyFont="1" applyBorder="1" applyAlignment="1">
      <alignment horizontal="center" vertical="center"/>
    </xf>
    <xf numFmtId="0" fontId="13" fillId="0" borderId="2" xfId="0" applyFont="1" applyFill="1" applyBorder="1" applyAlignment="1">
      <alignment horizontal="left" vertical="center" wrapText="1"/>
    </xf>
    <xf numFmtId="0" fontId="12" fillId="0" borderId="2" xfId="0" applyFont="1" applyBorder="1">
      <alignment vertical="center"/>
    </xf>
    <xf numFmtId="0" fontId="12" fillId="0" borderId="4" xfId="0" applyFont="1" applyBorder="1">
      <alignment vertical="center"/>
    </xf>
    <xf numFmtId="0" fontId="12" fillId="0" borderId="1" xfId="0" applyFont="1" applyBorder="1">
      <alignment vertical="center"/>
    </xf>
    <xf numFmtId="0" fontId="12" fillId="0" borderId="1" xfId="0" applyFont="1" applyFill="1" applyBorder="1">
      <alignment vertical="center"/>
    </xf>
    <xf numFmtId="0" fontId="0" fillId="0" borderId="2" xfId="0" applyBorder="1">
      <alignment vertical="center"/>
    </xf>
    <xf numFmtId="0" fontId="14" fillId="0" borderId="2" xfId="0" applyFont="1" applyBorder="1">
      <alignment vertical="center"/>
    </xf>
    <xf numFmtId="0" fontId="12" fillId="0" borderId="2" xfId="0" applyFont="1" applyFill="1" applyBorder="1">
      <alignment vertical="center"/>
    </xf>
    <xf numFmtId="0" fontId="12" fillId="0" borderId="2" xfId="0" applyFont="1" applyFill="1" applyBorder="1" applyAlignment="1">
      <alignment horizontal="left" vertical="center" wrapText="1"/>
    </xf>
    <xf numFmtId="0" fontId="12" fillId="0" borderId="2" xfId="0" applyFont="1" applyFill="1" applyBorder="1" applyAlignment="1">
      <alignment vertical="center"/>
    </xf>
    <xf numFmtId="0" fontId="15" fillId="0" borderId="0" xfId="0" applyFont="1" applyAlignment="1">
      <alignment horizontal="center" vertical="center"/>
    </xf>
    <xf numFmtId="0" fontId="13" fillId="0" borderId="4" xfId="0" applyFont="1" applyFill="1" applyBorder="1" applyAlignment="1">
      <alignment horizontal="left" vertical="center" wrapText="1"/>
    </xf>
    <xf numFmtId="176" fontId="12" fillId="0" borderId="37"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0" borderId="38" xfId="0" applyNumberFormat="1" applyFont="1" applyFill="1" applyBorder="1" applyAlignment="1">
      <alignment horizontal="center" vertical="center" wrapText="1"/>
    </xf>
    <xf numFmtId="0" fontId="12" fillId="0" borderId="37" xfId="0" applyFont="1" applyFill="1" applyBorder="1">
      <alignment vertical="center"/>
    </xf>
    <xf numFmtId="0" fontId="12" fillId="0" borderId="38" xfId="0" applyFont="1" applyFill="1" applyBorder="1">
      <alignment vertical="center"/>
    </xf>
    <xf numFmtId="0" fontId="12" fillId="0" borderId="37" xfId="0" applyFont="1" applyBorder="1">
      <alignment vertical="center"/>
    </xf>
    <xf numFmtId="0" fontId="12" fillId="0" borderId="38" xfId="0" applyFont="1" applyBorder="1">
      <alignment vertical="center"/>
    </xf>
    <xf numFmtId="0" fontId="12" fillId="0" borderId="4" xfId="0" applyFont="1" applyFill="1" applyBorder="1" applyAlignment="1">
      <alignment horizontal="left" vertical="center" wrapText="1"/>
    </xf>
    <xf numFmtId="0" fontId="16" fillId="0" borderId="2" xfId="0" applyFont="1" applyBorder="1" applyAlignment="1">
      <alignment horizontal="center" vertical="center"/>
    </xf>
    <xf numFmtId="0" fontId="16" fillId="0" borderId="4" xfId="0" applyFont="1" applyFill="1" applyBorder="1" applyAlignment="1">
      <alignment horizontal="center" vertical="center" wrapText="1"/>
    </xf>
    <xf numFmtId="177" fontId="16" fillId="0" borderId="37"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16" fillId="0" borderId="38" xfId="0" applyNumberFormat="1" applyFont="1" applyFill="1" applyBorder="1" applyAlignment="1">
      <alignment horizontal="center" vertical="center" wrapText="1"/>
    </xf>
    <xf numFmtId="0" fontId="16" fillId="0" borderId="3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177" fontId="12" fillId="0" borderId="37"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177" fontId="12" fillId="0" borderId="38" xfId="0" applyNumberFormat="1" applyFont="1" applyFill="1" applyBorder="1" applyAlignment="1">
      <alignment horizontal="center" vertical="center" wrapText="1"/>
    </xf>
    <xf numFmtId="0" fontId="16" fillId="0" borderId="4"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6" fillId="0" borderId="3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41" xfId="0" applyFont="1" applyFill="1" applyBorder="1" applyAlignment="1">
      <alignment horizontal="center" vertical="center"/>
    </xf>
    <xf numFmtId="0" fontId="15" fillId="2" borderId="0" xfId="0" applyFont="1" applyFill="1">
      <alignment vertical="center"/>
    </xf>
    <xf numFmtId="0" fontId="12" fillId="0" borderId="34" xfId="0" applyFont="1" applyBorder="1">
      <alignment vertical="center"/>
    </xf>
    <xf numFmtId="0" fontId="12" fillId="0" borderId="35" xfId="0" applyFont="1" applyBorder="1">
      <alignment vertical="center"/>
    </xf>
    <xf numFmtId="0" fontId="12" fillId="0" borderId="36" xfId="0" applyFont="1" applyBorder="1">
      <alignment vertical="center"/>
    </xf>
    <xf numFmtId="0" fontId="12" fillId="0" borderId="34" xfId="0" applyFont="1" applyFill="1" applyBorder="1">
      <alignment vertical="center"/>
    </xf>
    <xf numFmtId="0" fontId="12" fillId="0" borderId="35" xfId="0" applyFont="1" applyFill="1" applyBorder="1">
      <alignment vertical="center"/>
    </xf>
    <xf numFmtId="0" fontId="12" fillId="0" borderId="36" xfId="0" applyFont="1" applyFill="1" applyBorder="1">
      <alignment vertical="center"/>
    </xf>
    <xf numFmtId="0" fontId="12" fillId="0" borderId="39" xfId="0" applyFont="1" applyBorder="1">
      <alignment vertical="center"/>
    </xf>
    <xf numFmtId="0" fontId="12" fillId="0" borderId="40" xfId="0" applyFont="1" applyBorder="1">
      <alignment vertical="center"/>
    </xf>
    <xf numFmtId="0" fontId="12" fillId="0" borderId="41" xfId="0" applyFont="1" applyBorder="1">
      <alignment vertical="center"/>
    </xf>
    <xf numFmtId="10" fontId="0" fillId="0" borderId="0" xfId="0" applyNumberFormat="1" applyAlignment="1">
      <alignment vertical="center"/>
    </xf>
    <xf numFmtId="0" fontId="0" fillId="0" borderId="2" xfId="0" applyBorder="1" applyAlignment="1">
      <alignment horizontal="center" vertical="center"/>
    </xf>
    <xf numFmtId="0" fontId="17" fillId="3" borderId="2" xfId="0" applyFont="1" applyFill="1" applyBorder="1" applyAlignment="1">
      <alignment horizontal="center" vertical="center"/>
    </xf>
    <xf numFmtId="14" fontId="0" fillId="0" borderId="2" xfId="0" applyNumberFormat="1" applyBorder="1">
      <alignment vertical="center"/>
    </xf>
    <xf numFmtId="0" fontId="0" fillId="0" borderId="2" xfId="0" applyFont="1" applyBorder="1" applyAlignment="1">
      <alignment horizontal="center" vertical="center"/>
    </xf>
    <xf numFmtId="0" fontId="0" fillId="4" borderId="2" xfId="0" applyFont="1" applyFill="1" applyBorder="1" applyAlignment="1">
      <alignment horizontal="center" vertical="center"/>
    </xf>
    <xf numFmtId="0" fontId="0" fillId="4" borderId="2" xfId="0" applyFill="1" applyBorder="1" applyAlignment="1">
      <alignment horizontal="center" vertical="center"/>
    </xf>
    <xf numFmtId="10" fontId="0" fillId="0" borderId="2" xfId="0" applyNumberFormat="1" applyBorder="1" applyAlignment="1">
      <alignment horizontal="center" vertical="center"/>
    </xf>
    <xf numFmtId="14" fontId="0" fillId="0" borderId="0" xfId="0" applyNumberFormat="1">
      <alignment vertical="center"/>
    </xf>
    <xf numFmtId="0" fontId="17" fillId="5" borderId="2" xfId="0" applyFont="1" applyFill="1" applyBorder="1" applyAlignment="1">
      <alignment horizontal="center" vertical="center"/>
    </xf>
    <xf numFmtId="0" fontId="0" fillId="0" borderId="2" xfId="0" applyBorder="1" applyAlignment="1">
      <alignment horizontal="left" vertical="center"/>
    </xf>
    <xf numFmtId="0" fontId="0" fillId="2" borderId="0" xfId="0" applyFill="1">
      <alignment vertical="center"/>
    </xf>
    <xf numFmtId="10" fontId="0" fillId="0" borderId="0" xfId="0" applyNumberFormat="1">
      <alignment vertical="center"/>
    </xf>
    <xf numFmtId="10" fontId="0" fillId="0" borderId="2" xfId="0" applyNumberFormat="1" applyBorder="1" applyAlignment="1">
      <alignment vertical="center"/>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alignment vertical="center"/>
    </xf>
    <xf numFmtId="0" fontId="14" fillId="0" borderId="0" xfId="0" applyFont="1" applyAlignment="1">
      <alignment horizontal="center" vertical="center"/>
    </xf>
    <xf numFmtId="0" fontId="14" fillId="6" borderId="0" xfId="0" applyFont="1" applyFill="1" applyAlignment="1">
      <alignment horizontal="center" vertical="center" wrapText="1"/>
    </xf>
    <xf numFmtId="0" fontId="14" fillId="6"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7" borderId="2" xfId="0" applyFont="1" applyFill="1" applyBorder="1" applyAlignment="1">
      <alignment horizontal="center" vertical="center"/>
    </xf>
    <xf numFmtId="0" fontId="14" fillId="8" borderId="2" xfId="0" applyFont="1" applyFill="1" applyBorder="1" applyAlignment="1">
      <alignment horizontal="center" vertical="center"/>
    </xf>
    <xf numFmtId="0" fontId="14" fillId="4" borderId="2" xfId="0" applyFont="1" applyFill="1" applyBorder="1" applyAlignment="1">
      <alignment horizontal="center" vertical="center"/>
    </xf>
    <xf numFmtId="0" fontId="14" fillId="5" borderId="2" xfId="0" applyFont="1" applyFill="1" applyBorder="1" applyAlignment="1">
      <alignment horizontal="center" vertical="center"/>
    </xf>
    <xf numFmtId="0" fontId="14" fillId="0" borderId="4" xfId="0" applyFont="1" applyBorder="1" applyAlignment="1">
      <alignment horizontal="center" vertical="center"/>
    </xf>
    <xf numFmtId="0" fontId="14" fillId="6" borderId="2" xfId="0" applyFont="1" applyFill="1" applyBorder="1">
      <alignment vertical="center"/>
    </xf>
    <xf numFmtId="0" fontId="14" fillId="6" borderId="4" xfId="0" applyFont="1" applyFill="1" applyBorder="1">
      <alignment vertical="center"/>
    </xf>
    <xf numFmtId="0" fontId="14" fillId="0" borderId="2" xfId="0" applyFont="1" applyBorder="1" applyAlignment="1">
      <alignment vertical="center" wrapText="1"/>
    </xf>
    <xf numFmtId="14" fontId="14" fillId="0" borderId="2" xfId="0" applyNumberFormat="1" applyFont="1" applyBorder="1" applyAlignment="1">
      <alignment horizontal="center" vertical="center" wrapText="1"/>
    </xf>
    <xf numFmtId="0" fontId="14" fillId="0" borderId="23" xfId="0" applyFont="1" applyBorder="1" applyAlignment="1">
      <alignment vertical="center" wrapText="1"/>
    </xf>
    <xf numFmtId="0" fontId="14" fillId="0" borderId="23" xfId="0" applyFont="1" applyBorder="1" applyAlignment="1">
      <alignment horizontal="center" vertical="center" wrapText="1"/>
    </xf>
    <xf numFmtId="0" fontId="14" fillId="7" borderId="23" xfId="0" applyFont="1" applyFill="1" applyBorder="1" applyAlignment="1">
      <alignment horizontal="center" vertical="center"/>
    </xf>
    <xf numFmtId="0" fontId="14" fillId="8" borderId="23"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23" xfId="0" applyFont="1" applyFill="1" applyBorder="1" applyAlignment="1">
      <alignment horizontal="center" vertical="center"/>
    </xf>
    <xf numFmtId="0" fontId="14" fillId="0" borderId="24" xfId="0" applyFont="1" applyBorder="1" applyAlignment="1">
      <alignment horizontal="center" vertical="center"/>
    </xf>
    <xf numFmtId="0" fontId="14" fillId="6" borderId="0" xfId="0" applyFont="1" applyFill="1">
      <alignment vertical="center"/>
    </xf>
    <xf numFmtId="43" fontId="1" fillId="0" borderId="0" xfId="0" applyNumberFormat="1" applyFont="1" applyFill="1" applyAlignment="1">
      <alignment vertical="center"/>
    </xf>
    <xf numFmtId="0" fontId="18" fillId="0" borderId="0" xfId="0" applyNumberFormat="1" applyFont="1" applyFill="1" applyAlignment="1">
      <alignment horizontal="center" vertical="center" wrapText="1"/>
    </xf>
    <xf numFmtId="0" fontId="18" fillId="0" borderId="0" xfId="0" applyNumberFormat="1" applyFont="1" applyFill="1" applyAlignment="1">
      <alignment horizontal="justify" vertical="center" wrapText="1"/>
    </xf>
    <xf numFmtId="0" fontId="8" fillId="0" borderId="42" xfId="0" applyNumberFormat="1" applyFont="1" applyFill="1" applyBorder="1" applyAlignment="1" applyProtection="1">
      <alignment horizontal="center" vertical="center" wrapText="1"/>
    </xf>
    <xf numFmtId="0" fontId="10" fillId="0" borderId="27" xfId="0" applyFont="1" applyFill="1" applyBorder="1" applyAlignment="1">
      <alignment horizontal="center" vertical="center"/>
    </xf>
    <xf numFmtId="43" fontId="10" fillId="0" borderId="32" xfId="0" applyNumberFormat="1" applyFont="1" applyFill="1" applyBorder="1" applyAlignment="1">
      <alignment horizontal="center" vertical="center"/>
    </xf>
    <xf numFmtId="0" fontId="10" fillId="0" borderId="28" xfId="0" applyFont="1" applyFill="1" applyBorder="1" applyAlignment="1">
      <alignment horizontal="center" vertical="center"/>
    </xf>
    <xf numFmtId="0" fontId="8" fillId="0" borderId="33" xfId="0" applyNumberFormat="1" applyFont="1" applyFill="1" applyBorder="1" applyAlignment="1" applyProtection="1">
      <alignment horizontal="center" vertical="center" wrapText="1"/>
    </xf>
    <xf numFmtId="0" fontId="10" fillId="0" borderId="2" xfId="0" applyFont="1" applyFill="1" applyBorder="1" applyAlignment="1">
      <alignment horizontal="center" vertical="center"/>
    </xf>
    <xf numFmtId="43" fontId="10" fillId="0" borderId="6"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6" fillId="0" borderId="21" xfId="0" applyNumberFormat="1" applyFont="1" applyFill="1" applyBorder="1" applyAlignment="1" applyProtection="1">
      <alignment horizontal="justify" vertical="center" wrapText="1"/>
    </xf>
    <xf numFmtId="0" fontId="10" fillId="0" borderId="2" xfId="0" applyFont="1" applyFill="1" applyBorder="1" applyAlignment="1">
      <alignment vertical="center"/>
    </xf>
    <xf numFmtId="43" fontId="10" fillId="0" borderId="8" xfId="0" applyNumberFormat="1" applyFont="1" applyFill="1" applyBorder="1" applyAlignment="1">
      <alignment horizontal="center" vertical="center"/>
    </xf>
    <xf numFmtId="0" fontId="10" fillId="0" borderId="3" xfId="0" applyFont="1" applyFill="1" applyBorder="1" applyAlignment="1">
      <alignment vertical="center"/>
    </xf>
    <xf numFmtId="0" fontId="6" fillId="0" borderId="11" xfId="0" applyNumberFormat="1" applyFont="1" applyFill="1" applyBorder="1" applyAlignment="1">
      <alignment horizontal="center" vertical="center" wrapText="1"/>
    </xf>
    <xf numFmtId="43" fontId="1" fillId="0" borderId="2" xfId="0" applyNumberFormat="1" applyFont="1" applyFill="1" applyBorder="1" applyAlignment="1">
      <alignment vertical="center"/>
    </xf>
    <xf numFmtId="14" fontId="1" fillId="0" borderId="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vertical="center" wrapText="1"/>
    </xf>
    <xf numFmtId="0" fontId="6" fillId="0" borderId="2" xfId="0" applyFont="1" applyFill="1" applyBorder="1" applyAlignment="1">
      <alignment horizontal="justify" vertical="center"/>
    </xf>
    <xf numFmtId="0" fontId="4" fillId="0" borderId="2" xfId="0" applyFont="1" applyFill="1" applyBorder="1" applyAlignment="1">
      <alignment horizontal="justify" vertical="center" wrapText="1"/>
    </xf>
    <xf numFmtId="10" fontId="11" fillId="0" borderId="0" xfId="0" applyNumberFormat="1" applyFont="1" applyFill="1" applyAlignment="1">
      <alignment horizontal="center" vertical="center" wrapText="1"/>
    </xf>
    <xf numFmtId="0" fontId="8" fillId="0" borderId="43"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10" fontId="10" fillId="0" borderId="32" xfId="0" applyNumberFormat="1" applyFont="1" applyFill="1" applyBorder="1" applyAlignment="1">
      <alignment horizontal="center" vertical="center"/>
    </xf>
    <xf numFmtId="10" fontId="10" fillId="0" borderId="6" xfId="0" applyNumberFormat="1" applyFont="1" applyFill="1" applyBorder="1" applyAlignment="1">
      <alignment horizontal="center" vertical="center"/>
    </xf>
    <xf numFmtId="10" fontId="10" fillId="0" borderId="8" xfId="0" applyNumberFormat="1" applyFont="1" applyFill="1" applyBorder="1" applyAlignment="1">
      <alignment horizontal="center" vertical="center"/>
    </xf>
    <xf numFmtId="0" fontId="1" fillId="9" borderId="2" xfId="0" applyFont="1" applyFill="1" applyBorder="1" applyAlignment="1">
      <alignment vertical="center"/>
    </xf>
    <xf numFmtId="10" fontId="1" fillId="9" borderId="2" xfId="0" applyNumberFormat="1" applyFont="1" applyFill="1" applyBorder="1" applyAlignment="1">
      <alignment vertical="center"/>
    </xf>
    <xf numFmtId="14" fontId="1" fillId="9" borderId="2" xfId="0" applyNumberFormat="1" applyFont="1" applyFill="1" applyBorder="1" applyAlignment="1">
      <alignment vertical="center"/>
    </xf>
    <xf numFmtId="0" fontId="1" fillId="9" borderId="3" xfId="0" applyFont="1" applyFill="1" applyBorder="1" applyAlignment="1">
      <alignment vertical="center"/>
    </xf>
    <xf numFmtId="0" fontId="1" fillId="10" borderId="2" xfId="0" applyFont="1" applyFill="1" applyBorder="1" applyAlignment="1">
      <alignment vertical="center"/>
    </xf>
    <xf numFmtId="10" fontId="1" fillId="10" borderId="2" xfId="0" applyNumberFormat="1" applyFont="1" applyFill="1" applyBorder="1" applyAlignment="1">
      <alignment vertical="center"/>
    </xf>
    <xf numFmtId="14" fontId="1" fillId="10" borderId="2" xfId="0" applyNumberFormat="1" applyFont="1" applyFill="1" applyBorder="1" applyAlignment="1">
      <alignment vertical="center"/>
    </xf>
    <xf numFmtId="0" fontId="1" fillId="11" borderId="2" xfId="0" applyFont="1" applyFill="1" applyBorder="1" applyAlignment="1">
      <alignment vertical="center"/>
    </xf>
    <xf numFmtId="0" fontId="1" fillId="11" borderId="3" xfId="0" applyFont="1" applyFill="1" applyBorder="1" applyAlignment="1">
      <alignment vertical="center"/>
    </xf>
    <xf numFmtId="0" fontId="1" fillId="5" borderId="2" xfId="0" applyFont="1" applyFill="1" applyBorder="1" applyAlignment="1">
      <alignment vertical="center"/>
    </xf>
    <xf numFmtId="10" fontId="1" fillId="5" borderId="2" xfId="0" applyNumberFormat="1" applyFont="1" applyFill="1" applyBorder="1" applyAlignment="1">
      <alignment vertical="center"/>
    </xf>
    <xf numFmtId="14" fontId="1" fillId="5" borderId="2" xfId="0" applyNumberFormat="1" applyFont="1" applyFill="1" applyBorder="1" applyAlignment="1">
      <alignment vertical="center"/>
    </xf>
    <xf numFmtId="0" fontId="1" fillId="5" borderId="3" xfId="0" applyFont="1" applyFill="1" applyBorder="1" applyAlignment="1">
      <alignment vertical="center"/>
    </xf>
    <xf numFmtId="0" fontId="1" fillId="12" borderId="2" xfId="0" applyFont="1" applyFill="1" applyBorder="1" applyAlignment="1">
      <alignment vertical="center"/>
    </xf>
    <xf numFmtId="10" fontId="1" fillId="12" borderId="2" xfId="0" applyNumberFormat="1" applyFont="1" applyFill="1" applyBorder="1" applyAlignment="1">
      <alignment vertical="center"/>
    </xf>
    <xf numFmtId="0" fontId="1" fillId="12" borderId="3" xfId="0" applyFont="1" applyFill="1" applyBorder="1" applyAlignment="1">
      <alignment vertical="center"/>
    </xf>
    <xf numFmtId="0" fontId="6"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29" xfId="0" applyFont="1" applyFill="1" applyBorder="1" applyAlignment="1">
      <alignment horizontal="center" vertical="center" wrapText="1"/>
    </xf>
    <xf numFmtId="0" fontId="6" fillId="0" borderId="46" xfId="0" applyNumberFormat="1" applyFont="1" applyFill="1" applyBorder="1" applyAlignment="1">
      <alignment horizontal="center" vertical="center" wrapText="1"/>
    </xf>
    <xf numFmtId="0" fontId="6" fillId="0" borderId="33" xfId="0" applyNumberFormat="1" applyFont="1" applyFill="1" applyBorder="1" applyAlignment="1">
      <alignment horizontal="center" vertical="center" wrapText="1"/>
    </xf>
    <xf numFmtId="0" fontId="1" fillId="2" borderId="2" xfId="0" applyFont="1" applyFill="1" applyBorder="1" applyAlignment="1">
      <alignment vertical="center"/>
    </xf>
    <xf numFmtId="0" fontId="6" fillId="0" borderId="2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3CA"/>
      <color rgb="00000000"/>
      <color rgb="00FFFF00"/>
      <color rgb="00F2F2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253"/>
  <sheetViews>
    <sheetView zoomScale="85" zoomScaleNormal="85" workbookViewId="0">
      <pane xSplit="23" ySplit="6" topLeftCell="X13" activePane="bottomRight" state="frozen"/>
      <selection/>
      <selection pane="topRight"/>
      <selection pane="bottomLeft"/>
      <selection pane="bottomRight" activeCell="AA19" sqref="AA19:AA22"/>
    </sheetView>
  </sheetViews>
  <sheetFormatPr defaultColWidth="9" defaultRowHeight="47" customHeight="1"/>
  <cols>
    <col min="1" max="1" width="3.625" style="2" customWidth="1"/>
    <col min="2" max="2" width="13.125" style="3" hidden="1" customWidth="1"/>
    <col min="3" max="3" width="6.01666666666667" style="2" hidden="1" customWidth="1"/>
    <col min="4" max="4" width="29.25" style="2" customWidth="1"/>
    <col min="5" max="5" width="28.25" style="4" hidden="1" customWidth="1"/>
    <col min="6" max="6" width="10.3333333333333" style="4" hidden="1" customWidth="1"/>
    <col min="7" max="10" width="5.79166666666667" style="5" customWidth="1"/>
    <col min="11" max="11" width="6.875" style="5" customWidth="1"/>
    <col min="12" max="12" width="7.04166666666667" style="6" hidden="1" customWidth="1"/>
    <col min="13" max="13" width="8.625" style="6" hidden="1" customWidth="1"/>
    <col min="14" max="14" width="12.125" style="7" hidden="1" customWidth="1"/>
    <col min="15" max="15" width="19.625" style="7" hidden="1" customWidth="1"/>
    <col min="16" max="16" width="33" style="8" hidden="1" customWidth="1"/>
    <col min="17" max="17" width="5.625" style="7" hidden="1" customWidth="1"/>
    <col min="18" max="18" width="24.125" style="8" hidden="1" customWidth="1"/>
    <col min="19" max="19" width="8.06666666666667" style="7" hidden="1" customWidth="1"/>
    <col min="20" max="23" width="10.4416666666667" style="7" customWidth="1"/>
    <col min="24" max="27" width="11.5" style="1" customWidth="1"/>
    <col min="28" max="28" width="12.5" style="1" customWidth="1"/>
    <col min="29" max="29" width="9" style="1" customWidth="1"/>
    <col min="30" max="30" width="12.625" style="1" customWidth="1"/>
    <col min="31" max="31" width="12.625" style="9" customWidth="1"/>
    <col min="32" max="32" width="11.5" style="1" customWidth="1"/>
    <col min="33" max="33" width="9" style="1" customWidth="1"/>
    <col min="34" max="34" width="9.375" style="1"/>
    <col min="35" max="35" width="9" style="1"/>
    <col min="36" max="36" width="10.375" style="1"/>
    <col min="37" max="37" width="11.5" style="1"/>
    <col min="38" max="38" width="9.375" style="1"/>
    <col min="39" max="39" width="9" style="1"/>
    <col min="40" max="40" width="10.375" style="1"/>
    <col min="41" max="41" width="9.375" style="1"/>
    <col min="42" max="42" width="10.375" style="1"/>
    <col min="43" max="16384" width="9" style="1"/>
  </cols>
  <sheetData>
    <row r="1" s="1" customFormat="1" customHeight="1" spans="1:42">
      <c r="A1" s="10" t="s">
        <v>0</v>
      </c>
      <c r="B1" s="3"/>
      <c r="C1" s="10"/>
      <c r="D1" s="10"/>
      <c r="E1" s="4"/>
      <c r="F1" s="4"/>
      <c r="G1" s="5"/>
      <c r="H1" s="5"/>
      <c r="I1" s="5"/>
      <c r="J1" s="5"/>
      <c r="K1" s="5"/>
      <c r="L1" s="6"/>
      <c r="M1" s="6"/>
      <c r="N1" s="7"/>
      <c r="O1" s="7"/>
      <c r="P1" s="8"/>
      <c r="Q1" s="7"/>
      <c r="R1" s="8"/>
      <c r="S1" s="7"/>
      <c r="T1" s="7"/>
      <c r="U1" s="7"/>
      <c r="V1" s="7"/>
      <c r="W1" s="7"/>
      <c r="AE1" s="9"/>
    </row>
    <row r="2" s="1" customFormat="1" customHeight="1" spans="1:42">
      <c r="A2" s="120" t="s">
        <v>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261"/>
      <c r="AF2" s="120"/>
      <c r="AG2" s="120"/>
      <c r="AH2" s="120"/>
      <c r="AI2" s="120"/>
      <c r="AJ2" s="120"/>
      <c r="AK2" s="120"/>
      <c r="AL2" s="120"/>
      <c r="AM2" s="120"/>
      <c r="AN2" s="120"/>
      <c r="AO2" s="120"/>
    </row>
    <row r="3" s="118" customFormat="1" ht="38" customHeight="1" spans="1:42">
      <c r="A3" s="121" t="s">
        <v>2</v>
      </c>
      <c r="B3" s="121" t="s">
        <v>3</v>
      </c>
      <c r="C3" s="121" t="s">
        <v>4</v>
      </c>
      <c r="D3" s="121" t="s">
        <v>5</v>
      </c>
      <c r="E3" s="121" t="s">
        <v>6</v>
      </c>
      <c r="F3" s="121" t="s">
        <v>7</v>
      </c>
      <c r="G3" s="122" t="s">
        <v>8</v>
      </c>
      <c r="H3" s="122"/>
      <c r="I3" s="122"/>
      <c r="J3" s="122"/>
      <c r="K3" s="122"/>
      <c r="L3" s="122" t="s">
        <v>9</v>
      </c>
      <c r="M3" s="122" t="s">
        <v>10</v>
      </c>
      <c r="N3" s="122" t="s">
        <v>11</v>
      </c>
      <c r="O3" s="122" t="s">
        <v>12</v>
      </c>
      <c r="P3" s="122" t="s">
        <v>13</v>
      </c>
      <c r="Q3" s="122" t="s">
        <v>14</v>
      </c>
      <c r="R3" s="122" t="s">
        <v>15</v>
      </c>
      <c r="S3" s="122" t="s">
        <v>16</v>
      </c>
      <c r="T3" s="262" t="s">
        <v>17</v>
      </c>
      <c r="U3" s="263"/>
      <c r="V3" s="263"/>
      <c r="W3" s="264"/>
      <c r="X3" s="242" t="s">
        <v>18</v>
      </c>
      <c r="Y3" s="242" t="s">
        <v>19</v>
      </c>
      <c r="Z3" s="242" t="s">
        <v>20</v>
      </c>
      <c r="AA3" s="242" t="s">
        <v>21</v>
      </c>
      <c r="AB3" s="242" t="s">
        <v>22</v>
      </c>
      <c r="AC3" s="242" t="s">
        <v>23</v>
      </c>
      <c r="AD3" s="242" t="s">
        <v>24</v>
      </c>
      <c r="AE3" s="265" t="s">
        <v>25</v>
      </c>
      <c r="AF3" s="242" t="s">
        <v>26</v>
      </c>
      <c r="AG3" s="242" t="s">
        <v>27</v>
      </c>
      <c r="AH3" s="242" t="s">
        <v>28</v>
      </c>
      <c r="AI3" s="242"/>
      <c r="AJ3" s="242"/>
      <c r="AK3" s="242"/>
      <c r="AL3" s="242" t="s">
        <v>29</v>
      </c>
      <c r="AM3" s="242"/>
      <c r="AN3" s="242"/>
      <c r="AO3" s="244"/>
    </row>
    <row r="4" s="118" customFormat="1" ht="38" customHeight="1" spans="1:42">
      <c r="A4" s="124"/>
      <c r="B4" s="124"/>
      <c r="C4" s="124"/>
      <c r="D4" s="124"/>
      <c r="E4" s="124"/>
      <c r="F4" s="124"/>
      <c r="G4" s="93" t="s">
        <v>30</v>
      </c>
      <c r="H4" s="93" t="s">
        <v>31</v>
      </c>
      <c r="I4" s="93" t="s">
        <v>32</v>
      </c>
      <c r="J4" s="93" t="s">
        <v>33</v>
      </c>
      <c r="K4" s="125" t="s">
        <v>34</v>
      </c>
      <c r="L4" s="125"/>
      <c r="M4" s="125"/>
      <c r="N4" s="125"/>
      <c r="O4" s="125"/>
      <c r="P4" s="125"/>
      <c r="Q4" s="125"/>
      <c r="R4" s="125"/>
      <c r="S4" s="125"/>
      <c r="T4" s="93" t="s">
        <v>31</v>
      </c>
      <c r="U4" s="93" t="s">
        <v>32</v>
      </c>
      <c r="V4" s="93" t="s">
        <v>33</v>
      </c>
      <c r="W4" s="125" t="s">
        <v>34</v>
      </c>
      <c r="X4" s="246"/>
      <c r="Y4" s="246"/>
      <c r="Z4" s="246"/>
      <c r="AA4" s="246"/>
      <c r="AB4" s="246"/>
      <c r="AC4" s="246"/>
      <c r="AD4" s="246"/>
      <c r="AE4" s="266"/>
      <c r="AF4" s="246"/>
      <c r="AG4" s="246"/>
      <c r="AH4" s="246"/>
      <c r="AI4" s="246"/>
      <c r="AJ4" s="246"/>
      <c r="AK4" s="246"/>
      <c r="AL4" s="246"/>
      <c r="AM4" s="246"/>
      <c r="AN4" s="246"/>
      <c r="AO4" s="248"/>
    </row>
    <row r="5" s="119" customFormat="1" ht="36" customHeight="1" spans="1:42">
      <c r="A5" s="16">
        <f>A6+A224+A226+A233</f>
        <v>64</v>
      </c>
      <c r="B5" s="127" t="s">
        <v>30</v>
      </c>
      <c r="C5" s="128" t="s">
        <v>30</v>
      </c>
      <c r="D5" s="127"/>
      <c r="E5" s="249"/>
      <c r="F5" s="129"/>
      <c r="G5" s="16">
        <f>G6+G224+G226+G233</f>
        <v>5852</v>
      </c>
      <c r="H5" s="16">
        <f>H6+H224+H226+H233</f>
        <v>2367</v>
      </c>
      <c r="I5" s="16">
        <f>I6+I224+I226+I233</f>
        <v>686</v>
      </c>
      <c r="J5" s="16">
        <f>J6+J224+J226+J233</f>
        <v>987</v>
      </c>
      <c r="K5" s="16">
        <v>1812</v>
      </c>
      <c r="L5" s="12"/>
      <c r="M5" s="12"/>
      <c r="N5" s="12"/>
      <c r="O5" s="12"/>
      <c r="P5" s="12"/>
      <c r="Q5" s="12"/>
      <c r="R5" s="12"/>
      <c r="S5" s="12"/>
      <c r="T5" s="12"/>
      <c r="U5" s="12"/>
      <c r="V5" s="12"/>
      <c r="W5" s="12"/>
      <c r="X5" s="246"/>
      <c r="Y5" s="246"/>
      <c r="Z5" s="246"/>
      <c r="AA5" s="246"/>
      <c r="AB5" s="246"/>
      <c r="AC5" s="246"/>
      <c r="AD5" s="246"/>
      <c r="AE5" s="266"/>
      <c r="AF5" s="246"/>
      <c r="AG5" s="246"/>
      <c r="AH5" s="246"/>
      <c r="AI5" s="246"/>
      <c r="AJ5" s="246"/>
      <c r="AK5" s="246"/>
      <c r="AL5" s="246"/>
      <c r="AM5" s="246"/>
      <c r="AN5" s="246"/>
      <c r="AO5" s="248"/>
    </row>
    <row r="6" s="119" customFormat="1" ht="36" customHeight="1" spans="1:42">
      <c r="A6" s="130">
        <v>56</v>
      </c>
      <c r="B6" s="127" t="s">
        <v>35</v>
      </c>
      <c r="C6" s="128" t="s">
        <v>36</v>
      </c>
      <c r="D6" s="127"/>
      <c r="E6" s="249"/>
      <c r="F6" s="129"/>
      <c r="G6" s="16">
        <f>SUM(G7:G223)</f>
        <v>5471</v>
      </c>
      <c r="H6" s="16">
        <f>SUM(H7:H223)</f>
        <v>2347</v>
      </c>
      <c r="I6" s="16">
        <f>SUM(I7:I223)</f>
        <v>659</v>
      </c>
      <c r="J6" s="16">
        <f>SUM(J7:J223)</f>
        <v>938</v>
      </c>
      <c r="K6" s="16">
        <f>SUM(K7:K223)</f>
        <v>1527</v>
      </c>
      <c r="L6" s="12"/>
      <c r="M6" s="12"/>
      <c r="N6" s="12"/>
      <c r="O6" s="12"/>
      <c r="P6" s="12"/>
      <c r="Q6" s="12"/>
      <c r="R6" s="12"/>
      <c r="S6" s="12"/>
      <c r="T6" s="12">
        <f>SUM(T7:T218)</f>
        <v>2718</v>
      </c>
      <c r="U6" s="12">
        <f>SUM(U7:U218)</f>
        <v>711.9421</v>
      </c>
      <c r="V6" s="12">
        <f>SUM(V7:V218)</f>
        <v>846.8285</v>
      </c>
      <c r="W6" s="12">
        <f>SUM(W7:W218)</f>
        <v>923.2294</v>
      </c>
      <c r="X6" s="250"/>
      <c r="Y6" s="250"/>
      <c r="Z6" s="250"/>
      <c r="AA6" s="250"/>
      <c r="AB6" s="250"/>
      <c r="AC6" s="250"/>
      <c r="AD6" s="250"/>
      <c r="AE6" s="267"/>
      <c r="AF6" s="250"/>
      <c r="AG6" s="250"/>
      <c r="AH6" s="250" t="s">
        <v>37</v>
      </c>
      <c r="AI6" s="250" t="s">
        <v>38</v>
      </c>
      <c r="AJ6" s="250" t="s">
        <v>39</v>
      </c>
      <c r="AK6" s="250" t="s">
        <v>40</v>
      </c>
      <c r="AL6" s="250" t="s">
        <v>37</v>
      </c>
      <c r="AM6" s="250" t="s">
        <v>38</v>
      </c>
      <c r="AN6" s="250" t="s">
        <v>39</v>
      </c>
      <c r="AO6" s="252" t="s">
        <v>40</v>
      </c>
      <c r="AP6" s="119" t="s">
        <v>41</v>
      </c>
    </row>
    <row r="7" s="1" customFormat="1" ht="21" customHeight="1" spans="1:42">
      <c r="A7" s="11">
        <v>1</v>
      </c>
      <c r="B7" s="12" t="s">
        <v>42</v>
      </c>
      <c r="C7" s="12" t="s">
        <v>43</v>
      </c>
      <c r="D7" s="13" t="s">
        <v>44</v>
      </c>
      <c r="E7" s="14" t="s">
        <v>45</v>
      </c>
      <c r="F7" s="12" t="s">
        <v>46</v>
      </c>
      <c r="G7" s="15">
        <v>80</v>
      </c>
      <c r="H7" s="15">
        <v>45</v>
      </c>
      <c r="I7" s="15"/>
      <c r="J7" s="15">
        <v>30</v>
      </c>
      <c r="K7" s="15">
        <v>5</v>
      </c>
      <c r="L7" s="12" t="s">
        <v>47</v>
      </c>
      <c r="M7" s="12" t="str">
        <f>F7</f>
        <v>椹涧乡黄庙村</v>
      </c>
      <c r="N7" s="30" t="s">
        <v>48</v>
      </c>
      <c r="O7" s="17">
        <v>45809</v>
      </c>
      <c r="P7" s="31" t="s">
        <v>49</v>
      </c>
      <c r="Q7" s="19" t="s">
        <v>50</v>
      </c>
      <c r="R7" s="20" t="s">
        <v>51</v>
      </c>
      <c r="S7" s="21"/>
      <c r="T7" s="11">
        <f>+H7+AH9/10000</f>
        <v>50</v>
      </c>
      <c r="U7" s="11">
        <f>+I7+AI9/10000</f>
        <v>2.9616</v>
      </c>
      <c r="V7" s="11">
        <f>+J7-U7</f>
        <v>27.0384</v>
      </c>
      <c r="W7" s="11">
        <f>+K7-AH9/10000</f>
        <v>0</v>
      </c>
      <c r="X7" s="23">
        <v>743770.34</v>
      </c>
      <c r="Y7" s="23">
        <v>743770.34</v>
      </c>
      <c r="Z7" s="22">
        <v>723779.93</v>
      </c>
      <c r="AA7" s="22">
        <v>723779.93</v>
      </c>
      <c r="AB7" s="23"/>
      <c r="AC7" s="24"/>
      <c r="AD7" s="268">
        <v>217133</v>
      </c>
      <c r="AE7" s="269">
        <f>+AD7/AA7</f>
        <v>0.299998647378907</v>
      </c>
      <c r="AF7" s="270">
        <v>45834</v>
      </c>
      <c r="AG7" s="268"/>
      <c r="AH7" s="268">
        <f>+AD7</f>
        <v>217133</v>
      </c>
      <c r="AI7" s="268"/>
      <c r="AJ7" s="268"/>
      <c r="AK7" s="268"/>
      <c r="AL7" s="268"/>
      <c r="AM7" s="268"/>
      <c r="AN7" s="268">
        <f>+G7*10000-AA7-AO7</f>
        <v>26220.0699999999</v>
      </c>
      <c r="AO7" s="271">
        <f>+K7*10000</f>
        <v>50000</v>
      </c>
      <c r="AP7" s="1">
        <f>+G7*10000-AA7</f>
        <v>76220.0699999999</v>
      </c>
    </row>
    <row r="8" s="1" customFormat="1" ht="21" customHeight="1" spans="1:42">
      <c r="A8" s="27"/>
      <c r="B8" s="12"/>
      <c r="C8" s="12"/>
      <c r="D8" s="28"/>
      <c r="E8" s="14"/>
      <c r="F8" s="12"/>
      <c r="G8" s="29"/>
      <c r="H8" s="29"/>
      <c r="I8" s="29"/>
      <c r="J8" s="29"/>
      <c r="K8" s="29"/>
      <c r="L8" s="12"/>
      <c r="M8" s="12"/>
      <c r="N8" s="30"/>
      <c r="O8" s="17"/>
      <c r="P8" s="31"/>
      <c r="Q8" s="19"/>
      <c r="R8" s="20"/>
      <c r="S8" s="21"/>
      <c r="T8" s="27"/>
      <c r="U8" s="27"/>
      <c r="V8" s="27"/>
      <c r="W8" s="27"/>
      <c r="X8" s="33"/>
      <c r="Y8" s="33"/>
      <c r="Z8" s="32"/>
      <c r="AA8" s="32"/>
      <c r="AB8" s="33"/>
      <c r="AC8" s="24"/>
      <c r="AD8" s="272">
        <v>267799</v>
      </c>
      <c r="AE8" s="273">
        <f>+(+AD7+AD8)/AA7</f>
        <v>0.66999923581744</v>
      </c>
      <c r="AF8" s="274">
        <v>45834</v>
      </c>
      <c r="AG8" s="272"/>
      <c r="AH8" s="272">
        <f>+H7*10000-AH7</f>
        <v>232867</v>
      </c>
      <c r="AI8" s="272"/>
      <c r="AJ8" s="272">
        <f>+AD8-AH8</f>
        <v>34932</v>
      </c>
      <c r="AK8" s="272"/>
      <c r="AL8" s="275"/>
      <c r="AM8" s="275"/>
      <c r="AN8" s="275"/>
      <c r="AO8" s="276"/>
    </row>
    <row r="9" s="1" customFormat="1" ht="21" customHeight="1" spans="1:42">
      <c r="A9" s="27"/>
      <c r="B9" s="12"/>
      <c r="C9" s="12"/>
      <c r="D9" s="28"/>
      <c r="E9" s="14"/>
      <c r="F9" s="12"/>
      <c r="G9" s="29"/>
      <c r="H9" s="29"/>
      <c r="I9" s="29"/>
      <c r="J9" s="29"/>
      <c r="K9" s="29"/>
      <c r="L9" s="12"/>
      <c r="M9" s="12"/>
      <c r="N9" s="30"/>
      <c r="O9" s="17"/>
      <c r="P9" s="31"/>
      <c r="Q9" s="19"/>
      <c r="R9" s="20"/>
      <c r="S9" s="21"/>
      <c r="T9" s="27"/>
      <c r="U9" s="27"/>
      <c r="V9" s="27"/>
      <c r="W9" s="27"/>
      <c r="X9" s="33"/>
      <c r="Y9" s="33"/>
      <c r="Z9" s="32"/>
      <c r="AA9" s="32"/>
      <c r="AB9" s="33"/>
      <c r="AC9" s="24"/>
      <c r="AD9" s="277">
        <v>79616</v>
      </c>
      <c r="AE9" s="278">
        <f>+(AD9+AD8+AD7)/AA7</f>
        <v>0.77999952278312</v>
      </c>
      <c r="AF9" s="279">
        <v>45869</v>
      </c>
      <c r="AG9" s="277"/>
      <c r="AH9" s="277">
        <v>50000</v>
      </c>
      <c r="AI9" s="277">
        <v>29616</v>
      </c>
      <c r="AJ9" s="277">
        <f>29616-AI9</f>
        <v>0</v>
      </c>
      <c r="AK9" s="277">
        <f>50000-AH9</f>
        <v>0</v>
      </c>
      <c r="AL9" s="277"/>
      <c r="AM9" s="277"/>
      <c r="AN9" s="277">
        <f>-AI9</f>
        <v>-29616</v>
      </c>
      <c r="AO9" s="280">
        <f>-AH9</f>
        <v>-50000</v>
      </c>
    </row>
    <row r="10" s="1" customFormat="1" ht="21" customHeight="1" spans="1:42">
      <c r="A10" s="34"/>
      <c r="B10" s="12"/>
      <c r="C10" s="12"/>
      <c r="D10" s="35"/>
      <c r="E10" s="14"/>
      <c r="F10" s="12"/>
      <c r="G10" s="36"/>
      <c r="H10" s="36"/>
      <c r="I10" s="36"/>
      <c r="J10" s="36"/>
      <c r="K10" s="36"/>
      <c r="L10" s="12"/>
      <c r="M10" s="12"/>
      <c r="N10" s="30"/>
      <c r="O10" s="17"/>
      <c r="P10" s="31"/>
      <c r="Q10" s="19"/>
      <c r="R10" s="20"/>
      <c r="S10" s="21"/>
      <c r="T10" s="34"/>
      <c r="U10" s="34"/>
      <c r="V10" s="34"/>
      <c r="W10" s="34"/>
      <c r="X10" s="38"/>
      <c r="Y10" s="38"/>
      <c r="Z10" s="37"/>
      <c r="AA10" s="37"/>
      <c r="AB10" s="38"/>
      <c r="AC10" s="24"/>
      <c r="AD10" s="281"/>
      <c r="AE10" s="282"/>
      <c r="AF10" s="281"/>
      <c r="AG10" s="281"/>
      <c r="AH10" s="281"/>
      <c r="AI10" s="281"/>
      <c r="AJ10" s="281"/>
      <c r="AK10" s="281"/>
      <c r="AL10" s="281"/>
      <c r="AM10" s="281"/>
      <c r="AN10" s="281">
        <f>+AP7</f>
        <v>76220.0699999999</v>
      </c>
      <c r="AO10" s="283"/>
    </row>
    <row r="11" s="1" customFormat="1" ht="21" customHeight="1" spans="1:42">
      <c r="A11" s="11">
        <v>2</v>
      </c>
      <c r="B11" s="12" t="s">
        <v>42</v>
      </c>
      <c r="C11" s="12" t="s">
        <v>43</v>
      </c>
      <c r="D11" s="13" t="s">
        <v>52</v>
      </c>
      <c r="E11" s="14" t="s">
        <v>45</v>
      </c>
      <c r="F11" s="12" t="s">
        <v>53</v>
      </c>
      <c r="G11" s="15">
        <v>80</v>
      </c>
      <c r="H11" s="15">
        <v>45</v>
      </c>
      <c r="I11" s="15"/>
      <c r="J11" s="15">
        <v>30</v>
      </c>
      <c r="K11" s="15">
        <v>5</v>
      </c>
      <c r="L11" s="12" t="s">
        <v>47</v>
      </c>
      <c r="M11" s="12" t="str">
        <f>F11</f>
        <v>椹涧乡西耿村</v>
      </c>
      <c r="N11" s="30" t="s">
        <v>48</v>
      </c>
      <c r="O11" s="17">
        <v>45809</v>
      </c>
      <c r="P11" s="31" t="s">
        <v>49</v>
      </c>
      <c r="Q11" s="19" t="s">
        <v>50</v>
      </c>
      <c r="R11" s="20" t="s">
        <v>51</v>
      </c>
      <c r="S11" s="21"/>
      <c r="T11" s="11">
        <f>+H11+AH13/10000</f>
        <v>50</v>
      </c>
      <c r="U11" s="11">
        <f>+I11+AI13/10000</f>
        <v>2.9616</v>
      </c>
      <c r="V11" s="11">
        <f>+J11-U11</f>
        <v>27.0384</v>
      </c>
      <c r="W11" s="11">
        <f>+K11-AH13/10000</f>
        <v>0</v>
      </c>
      <c r="X11" s="23">
        <v>743770.34</v>
      </c>
      <c r="Y11" s="23">
        <v>743770.34</v>
      </c>
      <c r="Z11" s="22">
        <v>723779.93</v>
      </c>
      <c r="AA11" s="22">
        <v>723779.93</v>
      </c>
      <c r="AB11" s="23"/>
      <c r="AC11" s="24"/>
      <c r="AD11" s="268">
        <v>217133</v>
      </c>
      <c r="AE11" s="269">
        <f>+AD11/AA11</f>
        <v>0.299998647378907</v>
      </c>
      <c r="AF11" s="270">
        <v>45834</v>
      </c>
      <c r="AG11" s="268"/>
      <c r="AH11" s="268">
        <f>+AD11</f>
        <v>217133</v>
      </c>
      <c r="AI11" s="268"/>
      <c r="AJ11" s="268"/>
      <c r="AK11" s="268"/>
      <c r="AL11" s="268"/>
      <c r="AM11" s="268"/>
      <c r="AN11" s="268">
        <f>+G11*10000-AA11-AO11</f>
        <v>26220.0699999999</v>
      </c>
      <c r="AO11" s="271">
        <f>+K11*10000</f>
        <v>50000</v>
      </c>
      <c r="AP11" s="1">
        <f>+G11*10000-AA11</f>
        <v>76220.0699999999</v>
      </c>
    </row>
    <row r="12" s="1" customFormat="1" ht="21" customHeight="1" spans="1:42">
      <c r="A12" s="27"/>
      <c r="B12" s="12"/>
      <c r="C12" s="12"/>
      <c r="D12" s="28"/>
      <c r="E12" s="14"/>
      <c r="F12" s="12"/>
      <c r="G12" s="29"/>
      <c r="H12" s="29"/>
      <c r="I12" s="29"/>
      <c r="J12" s="29"/>
      <c r="K12" s="29"/>
      <c r="L12" s="12"/>
      <c r="M12" s="12"/>
      <c r="N12" s="30"/>
      <c r="O12" s="17"/>
      <c r="P12" s="31"/>
      <c r="Q12" s="19"/>
      <c r="R12" s="20"/>
      <c r="S12" s="21"/>
      <c r="T12" s="27"/>
      <c r="U12" s="27"/>
      <c r="V12" s="27"/>
      <c r="W12" s="27"/>
      <c r="X12" s="33"/>
      <c r="Y12" s="33"/>
      <c r="Z12" s="32"/>
      <c r="AA12" s="32"/>
      <c r="AB12" s="33"/>
      <c r="AC12" s="24"/>
      <c r="AD12" s="272">
        <v>267799</v>
      </c>
      <c r="AE12" s="273">
        <f>+(+AD11+AD12)/AA11</f>
        <v>0.66999923581744</v>
      </c>
      <c r="AF12" s="274">
        <v>45834</v>
      </c>
      <c r="AG12" s="272"/>
      <c r="AH12" s="272">
        <f>+H11*10000-AH11</f>
        <v>232867</v>
      </c>
      <c r="AI12" s="272"/>
      <c r="AJ12" s="272">
        <f>+AD12-AH12</f>
        <v>34932</v>
      </c>
      <c r="AK12" s="272"/>
      <c r="AL12" s="275"/>
      <c r="AM12" s="275"/>
      <c r="AN12" s="275"/>
      <c r="AO12" s="276"/>
    </row>
    <row r="13" s="1" customFormat="1" ht="21" customHeight="1" spans="1:42">
      <c r="A13" s="27"/>
      <c r="B13" s="12"/>
      <c r="C13" s="12"/>
      <c r="D13" s="28"/>
      <c r="E13" s="14"/>
      <c r="F13" s="12"/>
      <c r="G13" s="29"/>
      <c r="H13" s="29"/>
      <c r="I13" s="29"/>
      <c r="J13" s="29"/>
      <c r="K13" s="29"/>
      <c r="L13" s="12"/>
      <c r="M13" s="12"/>
      <c r="N13" s="30"/>
      <c r="O13" s="17"/>
      <c r="P13" s="31"/>
      <c r="Q13" s="19"/>
      <c r="R13" s="20"/>
      <c r="S13" s="21"/>
      <c r="T13" s="27"/>
      <c r="U13" s="27"/>
      <c r="V13" s="27"/>
      <c r="W13" s="27"/>
      <c r="X13" s="33"/>
      <c r="Y13" s="33"/>
      <c r="Z13" s="32"/>
      <c r="AA13" s="32"/>
      <c r="AB13" s="33"/>
      <c r="AC13" s="24"/>
      <c r="AD13" s="277">
        <v>79616</v>
      </c>
      <c r="AE13" s="278">
        <f>+(AD13+AD12+AD11)/AA11</f>
        <v>0.77999952278312</v>
      </c>
      <c r="AF13" s="279">
        <v>45869</v>
      </c>
      <c r="AG13" s="277"/>
      <c r="AH13" s="277">
        <v>50000</v>
      </c>
      <c r="AI13" s="277">
        <v>29616</v>
      </c>
      <c r="AJ13" s="277">
        <f>29616-AI13</f>
        <v>0</v>
      </c>
      <c r="AK13" s="277">
        <f>50000-AH13</f>
        <v>0</v>
      </c>
      <c r="AL13" s="277"/>
      <c r="AM13" s="277"/>
      <c r="AN13" s="277">
        <f>-AI13</f>
        <v>-29616</v>
      </c>
      <c r="AO13" s="280">
        <f>-AH13</f>
        <v>-50000</v>
      </c>
    </row>
    <row r="14" s="1" customFormat="1" ht="21" customHeight="1" spans="1:42">
      <c r="A14" s="34"/>
      <c r="B14" s="12"/>
      <c r="C14" s="12"/>
      <c r="D14" s="35"/>
      <c r="E14" s="14"/>
      <c r="F14" s="12"/>
      <c r="G14" s="36"/>
      <c r="H14" s="36"/>
      <c r="I14" s="36"/>
      <c r="J14" s="36"/>
      <c r="K14" s="36"/>
      <c r="L14" s="12"/>
      <c r="M14" s="12"/>
      <c r="N14" s="30"/>
      <c r="O14" s="17"/>
      <c r="P14" s="31"/>
      <c r="Q14" s="19"/>
      <c r="R14" s="20"/>
      <c r="S14" s="21"/>
      <c r="T14" s="34"/>
      <c r="U14" s="34"/>
      <c r="V14" s="34"/>
      <c r="W14" s="34"/>
      <c r="X14" s="38"/>
      <c r="Y14" s="38"/>
      <c r="Z14" s="37"/>
      <c r="AA14" s="37"/>
      <c r="AB14" s="38"/>
      <c r="AC14" s="24"/>
      <c r="AD14" s="281"/>
      <c r="AE14" s="282"/>
      <c r="AF14" s="281"/>
      <c r="AG14" s="281"/>
      <c r="AH14" s="281"/>
      <c r="AI14" s="281"/>
      <c r="AJ14" s="281"/>
      <c r="AK14" s="281"/>
      <c r="AL14" s="281"/>
      <c r="AM14" s="281"/>
      <c r="AN14" s="281">
        <f>+AP11</f>
        <v>76220.0699999999</v>
      </c>
      <c r="AO14" s="283"/>
    </row>
    <row r="15" s="1" customFormat="1" ht="21" customHeight="1" spans="1:42">
      <c r="A15" s="11">
        <v>3</v>
      </c>
      <c r="B15" s="12" t="s">
        <v>42</v>
      </c>
      <c r="C15" s="12" t="s">
        <v>43</v>
      </c>
      <c r="D15" s="13" t="s">
        <v>54</v>
      </c>
      <c r="E15" s="14" t="s">
        <v>45</v>
      </c>
      <c r="F15" s="12" t="s">
        <v>55</v>
      </c>
      <c r="G15" s="15">
        <v>80</v>
      </c>
      <c r="H15" s="15">
        <v>45</v>
      </c>
      <c r="I15" s="15"/>
      <c r="J15" s="15">
        <v>30</v>
      </c>
      <c r="K15" s="15">
        <v>5</v>
      </c>
      <c r="L15" s="12" t="s">
        <v>47</v>
      </c>
      <c r="M15" s="12" t="str">
        <f>F15</f>
        <v>椹涧乡时庄村</v>
      </c>
      <c r="N15" s="30" t="s">
        <v>48</v>
      </c>
      <c r="O15" s="17">
        <v>45809</v>
      </c>
      <c r="P15" s="31" t="s">
        <v>49</v>
      </c>
      <c r="Q15" s="19" t="s">
        <v>50</v>
      </c>
      <c r="R15" s="20" t="s">
        <v>51</v>
      </c>
      <c r="S15" s="21"/>
      <c r="T15" s="11">
        <f>+H15+AH17/10000</f>
        <v>50</v>
      </c>
      <c r="U15" s="11">
        <f>+I15+AI17/10000</f>
        <v>2.9772</v>
      </c>
      <c r="V15" s="11">
        <f>+J15-U15</f>
        <v>27.0228</v>
      </c>
      <c r="W15" s="11">
        <f>+K15-AH17/10000</f>
        <v>0</v>
      </c>
      <c r="X15" s="23">
        <v>745184.36</v>
      </c>
      <c r="Y15" s="23">
        <v>745184.36</v>
      </c>
      <c r="Z15" s="22">
        <v>725193.97</v>
      </c>
      <c r="AA15" s="22">
        <v>725193.97</v>
      </c>
      <c r="AB15" s="23"/>
      <c r="AC15" s="24"/>
      <c r="AD15" s="268">
        <v>217558</v>
      </c>
      <c r="AE15" s="269">
        <f>+AD15/AA15</f>
        <v>0.29999973662219</v>
      </c>
      <c r="AF15" s="270">
        <v>45834</v>
      </c>
      <c r="AG15" s="268"/>
      <c r="AH15" s="268">
        <f>+AD15</f>
        <v>217558</v>
      </c>
      <c r="AI15" s="268"/>
      <c r="AJ15" s="268"/>
      <c r="AK15" s="268"/>
      <c r="AL15" s="268"/>
      <c r="AM15" s="268"/>
      <c r="AN15" s="268">
        <f>+G15*10000-AA15-AO15</f>
        <v>24806.03</v>
      </c>
      <c r="AO15" s="271">
        <f>+K15*10000</f>
        <v>50000</v>
      </c>
      <c r="AP15" s="1">
        <f>+G15*10000-AA15</f>
        <v>74806.03</v>
      </c>
    </row>
    <row r="16" s="1" customFormat="1" ht="21" customHeight="1" spans="1:42">
      <c r="A16" s="27"/>
      <c r="B16" s="12"/>
      <c r="C16" s="12"/>
      <c r="D16" s="28"/>
      <c r="E16" s="14"/>
      <c r="F16" s="12"/>
      <c r="G16" s="29"/>
      <c r="H16" s="29"/>
      <c r="I16" s="29"/>
      <c r="J16" s="29"/>
      <c r="K16" s="29"/>
      <c r="L16" s="12"/>
      <c r="M16" s="12"/>
      <c r="N16" s="30"/>
      <c r="O16" s="17"/>
      <c r="P16" s="31"/>
      <c r="Q16" s="19"/>
      <c r="R16" s="20"/>
      <c r="S16" s="21"/>
      <c r="T16" s="27"/>
      <c r="U16" s="27"/>
      <c r="V16" s="27"/>
      <c r="W16" s="27"/>
      <c r="X16" s="33"/>
      <c r="Y16" s="33"/>
      <c r="Z16" s="32"/>
      <c r="AA16" s="32"/>
      <c r="AB16" s="33"/>
      <c r="AC16" s="24"/>
      <c r="AD16" s="272">
        <v>268321</v>
      </c>
      <c r="AE16" s="273">
        <f>+(+AD15+AD16)/AA15</f>
        <v>0.669998676354135</v>
      </c>
      <c r="AF16" s="274">
        <v>45834</v>
      </c>
      <c r="AG16" s="272"/>
      <c r="AH16" s="272">
        <f>+H15*10000-AH15</f>
        <v>232442</v>
      </c>
      <c r="AI16" s="272"/>
      <c r="AJ16" s="272">
        <f>+AD16-AH16</f>
        <v>35879</v>
      </c>
      <c r="AK16" s="272"/>
      <c r="AL16" s="275"/>
      <c r="AM16" s="275"/>
      <c r="AN16" s="275"/>
      <c r="AO16" s="276"/>
    </row>
    <row r="17" s="1" customFormat="1" ht="21" customHeight="1" spans="1:42">
      <c r="A17" s="27"/>
      <c r="B17" s="12"/>
      <c r="C17" s="12"/>
      <c r="D17" s="28"/>
      <c r="E17" s="14"/>
      <c r="F17" s="12"/>
      <c r="G17" s="29"/>
      <c r="H17" s="29"/>
      <c r="I17" s="29"/>
      <c r="J17" s="29"/>
      <c r="K17" s="29"/>
      <c r="L17" s="12"/>
      <c r="M17" s="12"/>
      <c r="N17" s="30"/>
      <c r="O17" s="17"/>
      <c r="P17" s="31"/>
      <c r="Q17" s="19"/>
      <c r="R17" s="20"/>
      <c r="S17" s="21"/>
      <c r="T17" s="27"/>
      <c r="U17" s="27"/>
      <c r="V17" s="27"/>
      <c r="W17" s="27"/>
      <c r="X17" s="33"/>
      <c r="Y17" s="33"/>
      <c r="Z17" s="32"/>
      <c r="AA17" s="32"/>
      <c r="AB17" s="33"/>
      <c r="AC17" s="24"/>
      <c r="AD17" s="277">
        <v>79772</v>
      </c>
      <c r="AE17" s="278">
        <f>+(AD17+AD16+AD15)/AA15</f>
        <v>0.779999591005976</v>
      </c>
      <c r="AF17" s="279">
        <v>45869</v>
      </c>
      <c r="AG17" s="277"/>
      <c r="AH17" s="277">
        <v>50000</v>
      </c>
      <c r="AI17" s="277">
        <v>29772</v>
      </c>
      <c r="AJ17" s="277">
        <f>29772-AI17</f>
        <v>0</v>
      </c>
      <c r="AK17" s="277">
        <f>50000-AH17</f>
        <v>0</v>
      </c>
      <c r="AL17" s="277"/>
      <c r="AM17" s="277"/>
      <c r="AN17" s="277">
        <f>-AI17</f>
        <v>-29772</v>
      </c>
      <c r="AO17" s="280">
        <f>-AH17</f>
        <v>-50000</v>
      </c>
    </row>
    <row r="18" s="1" customFormat="1" ht="21" customHeight="1" spans="1:42">
      <c r="A18" s="34"/>
      <c r="B18" s="12"/>
      <c r="C18" s="12"/>
      <c r="D18" s="35"/>
      <c r="E18" s="14"/>
      <c r="F18" s="12"/>
      <c r="G18" s="36"/>
      <c r="H18" s="36"/>
      <c r="I18" s="36"/>
      <c r="J18" s="36"/>
      <c r="K18" s="36"/>
      <c r="L18" s="12"/>
      <c r="M18" s="12"/>
      <c r="N18" s="30"/>
      <c r="O18" s="17"/>
      <c r="P18" s="31"/>
      <c r="Q18" s="19"/>
      <c r="R18" s="20"/>
      <c r="S18" s="21"/>
      <c r="T18" s="34"/>
      <c r="U18" s="34"/>
      <c r="V18" s="34"/>
      <c r="W18" s="34"/>
      <c r="X18" s="38"/>
      <c r="Y18" s="38"/>
      <c r="Z18" s="37"/>
      <c r="AA18" s="37"/>
      <c r="AB18" s="38"/>
      <c r="AC18" s="24"/>
      <c r="AD18" s="281"/>
      <c r="AE18" s="282"/>
      <c r="AF18" s="281"/>
      <c r="AG18" s="281"/>
      <c r="AH18" s="281"/>
      <c r="AI18" s="281"/>
      <c r="AJ18" s="281"/>
      <c r="AK18" s="281"/>
      <c r="AL18" s="281"/>
      <c r="AM18" s="281"/>
      <c r="AN18" s="281">
        <f>+AP15</f>
        <v>74806.03</v>
      </c>
      <c r="AO18" s="283"/>
    </row>
    <row r="19" s="1" customFormat="1" ht="21" customHeight="1" spans="1:42">
      <c r="A19" s="11">
        <v>4</v>
      </c>
      <c r="B19" s="12" t="s">
        <v>42</v>
      </c>
      <c r="C19" s="12" t="s">
        <v>43</v>
      </c>
      <c r="D19" s="13" t="s">
        <v>56</v>
      </c>
      <c r="E19" s="14" t="s">
        <v>45</v>
      </c>
      <c r="F19" s="12" t="s">
        <v>57</v>
      </c>
      <c r="G19" s="15">
        <v>160</v>
      </c>
      <c r="H19" s="15">
        <v>90</v>
      </c>
      <c r="I19" s="15"/>
      <c r="J19" s="15">
        <v>60</v>
      </c>
      <c r="K19" s="15">
        <v>10</v>
      </c>
      <c r="L19" s="12" t="s">
        <v>47</v>
      </c>
      <c r="M19" s="12" t="str">
        <f>F19</f>
        <v>椹涧乡邓辛庄村</v>
      </c>
      <c r="N19" s="30" t="s">
        <v>48</v>
      </c>
      <c r="O19" s="17">
        <v>45809</v>
      </c>
      <c r="P19" s="31" t="s">
        <v>49</v>
      </c>
      <c r="Q19" s="19" t="s">
        <v>50</v>
      </c>
      <c r="R19" s="20" t="s">
        <v>51</v>
      </c>
      <c r="S19" s="21"/>
      <c r="T19" s="11">
        <f>+H19+AH21/10000</f>
        <v>100</v>
      </c>
      <c r="U19" s="11">
        <f>+I19+AI21/10000</f>
        <v>5.9543</v>
      </c>
      <c r="V19" s="11">
        <f>+J19-U19</f>
        <v>54.0457</v>
      </c>
      <c r="W19" s="11">
        <f>+K19-AH21/10000</f>
        <v>0</v>
      </c>
      <c r="X19" s="23">
        <v>1490368.8</v>
      </c>
      <c r="Y19" s="23">
        <v>1490368.8</v>
      </c>
      <c r="Z19" s="22">
        <v>1450387.96</v>
      </c>
      <c r="AA19" s="22">
        <v>1450387.96</v>
      </c>
      <c r="AB19" s="23"/>
      <c r="AC19" s="24"/>
      <c r="AD19" s="268">
        <v>435116</v>
      </c>
      <c r="AE19" s="269">
        <f>+AD19/AA19</f>
        <v>0.299999732485369</v>
      </c>
      <c r="AF19" s="270">
        <v>45834</v>
      </c>
      <c r="AG19" s="268"/>
      <c r="AH19" s="268">
        <f>+AD19</f>
        <v>435116</v>
      </c>
      <c r="AI19" s="268"/>
      <c r="AJ19" s="268"/>
      <c r="AK19" s="268"/>
      <c r="AL19" s="268"/>
      <c r="AM19" s="268"/>
      <c r="AN19" s="268">
        <f>+G19*10000-AA19-AO19</f>
        <v>49612.04</v>
      </c>
      <c r="AO19" s="271">
        <f>+K19*10000</f>
        <v>100000</v>
      </c>
      <c r="AP19" s="1">
        <f>+G19*10000-AA19</f>
        <v>149612.04</v>
      </c>
    </row>
    <row r="20" s="1" customFormat="1" ht="21" customHeight="1" spans="1:42">
      <c r="A20" s="27"/>
      <c r="B20" s="12"/>
      <c r="C20" s="12"/>
      <c r="D20" s="28"/>
      <c r="E20" s="14"/>
      <c r="F20" s="12"/>
      <c r="G20" s="29"/>
      <c r="H20" s="29"/>
      <c r="I20" s="29"/>
      <c r="J20" s="29"/>
      <c r="K20" s="29"/>
      <c r="L20" s="12"/>
      <c r="M20" s="12"/>
      <c r="N20" s="30"/>
      <c r="O20" s="17"/>
      <c r="P20" s="31"/>
      <c r="Q20" s="19"/>
      <c r="R20" s="20"/>
      <c r="S20" s="21"/>
      <c r="T20" s="27"/>
      <c r="U20" s="27"/>
      <c r="V20" s="27"/>
      <c r="W20" s="27"/>
      <c r="X20" s="33"/>
      <c r="Y20" s="33"/>
      <c r="Z20" s="32"/>
      <c r="AA20" s="32"/>
      <c r="AB20" s="33"/>
      <c r="AC20" s="24"/>
      <c r="AD20" s="272">
        <v>536643</v>
      </c>
      <c r="AE20" s="273">
        <f>+(+AD19+AD20)/AA19</f>
        <v>0.669999356585944</v>
      </c>
      <c r="AF20" s="274">
        <v>45834</v>
      </c>
      <c r="AG20" s="272"/>
      <c r="AH20" s="272">
        <f>+H19*10000-AH19</f>
        <v>464884</v>
      </c>
      <c r="AI20" s="272"/>
      <c r="AJ20" s="272">
        <f>+AD20-AH20</f>
        <v>71759</v>
      </c>
      <c r="AK20" s="272"/>
      <c r="AL20" s="275"/>
      <c r="AM20" s="275"/>
      <c r="AN20" s="275"/>
      <c r="AO20" s="276"/>
    </row>
    <row r="21" s="1" customFormat="1" ht="21" customHeight="1" spans="1:42">
      <c r="A21" s="27"/>
      <c r="B21" s="12"/>
      <c r="C21" s="12"/>
      <c r="D21" s="28"/>
      <c r="E21" s="14"/>
      <c r="F21" s="12"/>
      <c r="G21" s="29"/>
      <c r="H21" s="29"/>
      <c r="I21" s="29"/>
      <c r="J21" s="29"/>
      <c r="K21" s="29"/>
      <c r="L21" s="12"/>
      <c r="M21" s="12"/>
      <c r="N21" s="30"/>
      <c r="O21" s="17"/>
      <c r="P21" s="31"/>
      <c r="Q21" s="19"/>
      <c r="R21" s="20"/>
      <c r="S21" s="21"/>
      <c r="T21" s="27"/>
      <c r="U21" s="27"/>
      <c r="V21" s="27"/>
      <c r="W21" s="27"/>
      <c r="X21" s="33"/>
      <c r="Y21" s="33"/>
      <c r="Z21" s="32"/>
      <c r="AA21" s="32"/>
      <c r="AB21" s="33"/>
      <c r="AC21" s="24"/>
      <c r="AD21" s="277">
        <v>159543</v>
      </c>
      <c r="AE21" s="278">
        <f>+(AD21+AD20+AD19)/AA19</f>
        <v>0.779999580250239</v>
      </c>
      <c r="AF21" s="279">
        <v>45869</v>
      </c>
      <c r="AG21" s="277"/>
      <c r="AH21" s="277">
        <v>100000</v>
      </c>
      <c r="AI21" s="277">
        <v>59543</v>
      </c>
      <c r="AJ21" s="277">
        <f>59543-AI21</f>
        <v>0</v>
      </c>
      <c r="AK21" s="277">
        <f>100000-AH21</f>
        <v>0</v>
      </c>
      <c r="AL21" s="277"/>
      <c r="AM21" s="277"/>
      <c r="AN21" s="277">
        <f>-AI21</f>
        <v>-59543</v>
      </c>
      <c r="AO21" s="280">
        <f>-AH21</f>
        <v>-100000</v>
      </c>
    </row>
    <row r="22" s="1" customFormat="1" ht="21" customHeight="1" spans="1:42">
      <c r="A22" s="34"/>
      <c r="B22" s="12"/>
      <c r="C22" s="12"/>
      <c r="D22" s="35"/>
      <c r="E22" s="14"/>
      <c r="F22" s="12"/>
      <c r="G22" s="36"/>
      <c r="H22" s="36"/>
      <c r="I22" s="36"/>
      <c r="J22" s="36"/>
      <c r="K22" s="36"/>
      <c r="L22" s="12"/>
      <c r="M22" s="12"/>
      <c r="N22" s="30"/>
      <c r="O22" s="17"/>
      <c r="P22" s="31"/>
      <c r="Q22" s="19"/>
      <c r="R22" s="20"/>
      <c r="S22" s="21"/>
      <c r="T22" s="34"/>
      <c r="U22" s="34"/>
      <c r="V22" s="34"/>
      <c r="W22" s="34"/>
      <c r="X22" s="38"/>
      <c r="Y22" s="38"/>
      <c r="Z22" s="37"/>
      <c r="AA22" s="37"/>
      <c r="AB22" s="38"/>
      <c r="AC22" s="24"/>
      <c r="AD22" s="281"/>
      <c r="AE22" s="282"/>
      <c r="AF22" s="281"/>
      <c r="AG22" s="281"/>
      <c r="AH22" s="281"/>
      <c r="AI22" s="281"/>
      <c r="AJ22" s="281"/>
      <c r="AK22" s="281"/>
      <c r="AL22" s="281"/>
      <c r="AM22" s="281"/>
      <c r="AN22" s="281">
        <f>+AP19</f>
        <v>149612.04</v>
      </c>
      <c r="AO22" s="283"/>
    </row>
    <row r="23" s="1" customFormat="1" ht="21" customHeight="1" spans="1:42">
      <c r="A23" s="11">
        <v>5</v>
      </c>
      <c r="B23" s="12" t="s">
        <v>42</v>
      </c>
      <c r="C23" s="12" t="s">
        <v>43</v>
      </c>
      <c r="D23" s="13" t="s">
        <v>58</v>
      </c>
      <c r="E23" s="14" t="s">
        <v>45</v>
      </c>
      <c r="F23" s="12" t="s">
        <v>59</v>
      </c>
      <c r="G23" s="15">
        <v>80</v>
      </c>
      <c r="H23" s="15">
        <v>45</v>
      </c>
      <c r="I23" s="15"/>
      <c r="J23" s="15">
        <v>30</v>
      </c>
      <c r="K23" s="15">
        <v>5</v>
      </c>
      <c r="L23" s="12" t="s">
        <v>47</v>
      </c>
      <c r="M23" s="12" t="str">
        <f>F23</f>
        <v>椹涧乡庙张村</v>
      </c>
      <c r="N23" s="30" t="s">
        <v>48</v>
      </c>
      <c r="O23" s="17">
        <v>45809</v>
      </c>
      <c r="P23" s="31" t="s">
        <v>49</v>
      </c>
      <c r="Q23" s="19" t="s">
        <v>50</v>
      </c>
      <c r="R23" s="20" t="s">
        <v>51</v>
      </c>
      <c r="S23" s="21"/>
      <c r="T23" s="11">
        <f>+H23+AH25/10000</f>
        <v>50</v>
      </c>
      <c r="U23" s="11">
        <f>+I23+AI25/10000</f>
        <v>2.9149</v>
      </c>
      <c r="V23" s="11">
        <f>+J23-U23</f>
        <v>27.0851</v>
      </c>
      <c r="W23" s="11">
        <f>+K23-AH25/10000</f>
        <v>0</v>
      </c>
      <c r="X23" s="23">
        <v>743083.25</v>
      </c>
      <c r="Y23" s="23">
        <v>743083.25</v>
      </c>
      <c r="Z23" s="22">
        <v>719539.45</v>
      </c>
      <c r="AA23" s="22">
        <v>719539.45</v>
      </c>
      <c r="AB23" s="23"/>
      <c r="AC23" s="24"/>
      <c r="AD23" s="268">
        <v>215861</v>
      </c>
      <c r="AE23" s="269">
        <f>+AD23/AA23</f>
        <v>0.299998839535483</v>
      </c>
      <c r="AF23" s="270">
        <v>45834</v>
      </c>
      <c r="AG23" s="268"/>
      <c r="AH23" s="268">
        <f>+AD23</f>
        <v>215861</v>
      </c>
      <c r="AI23" s="268"/>
      <c r="AJ23" s="268"/>
      <c r="AK23" s="268"/>
      <c r="AL23" s="268"/>
      <c r="AM23" s="268"/>
      <c r="AN23" s="268">
        <f>+G23*10000-AA23-AO23</f>
        <v>30460.55</v>
      </c>
      <c r="AO23" s="271">
        <f>+K23*10000</f>
        <v>50000</v>
      </c>
      <c r="AP23" s="1">
        <f>+G23*10000-AA23</f>
        <v>80460.55</v>
      </c>
    </row>
    <row r="24" s="1" customFormat="1" ht="21" customHeight="1" spans="1:42">
      <c r="A24" s="27"/>
      <c r="B24" s="12"/>
      <c r="C24" s="12"/>
      <c r="D24" s="28"/>
      <c r="E24" s="14"/>
      <c r="F24" s="12"/>
      <c r="G24" s="29"/>
      <c r="H24" s="29"/>
      <c r="I24" s="29"/>
      <c r="J24" s="29"/>
      <c r="K24" s="29"/>
      <c r="L24" s="12"/>
      <c r="M24" s="12"/>
      <c r="N24" s="30"/>
      <c r="O24" s="17"/>
      <c r="P24" s="31"/>
      <c r="Q24" s="19"/>
      <c r="R24" s="20"/>
      <c r="S24" s="21"/>
      <c r="T24" s="27"/>
      <c r="U24" s="27"/>
      <c r="V24" s="27"/>
      <c r="W24" s="27"/>
      <c r="X24" s="33"/>
      <c r="Y24" s="33"/>
      <c r="Z24" s="32"/>
      <c r="AA24" s="32"/>
      <c r="AB24" s="33"/>
      <c r="AC24" s="24"/>
      <c r="AD24" s="272">
        <v>266230</v>
      </c>
      <c r="AE24" s="273">
        <f>+(+AD23+AD24)/AA23</f>
        <v>0.669999400310852</v>
      </c>
      <c r="AF24" s="274">
        <v>45834</v>
      </c>
      <c r="AG24" s="272"/>
      <c r="AH24" s="272">
        <f>+H23*10000-AH23</f>
        <v>234139</v>
      </c>
      <c r="AI24" s="272"/>
      <c r="AJ24" s="272">
        <f>+AD24-AH24</f>
        <v>32091</v>
      </c>
      <c r="AK24" s="272"/>
      <c r="AL24" s="275"/>
      <c r="AM24" s="275"/>
      <c r="AN24" s="275"/>
      <c r="AO24" s="276"/>
    </row>
    <row r="25" s="1" customFormat="1" ht="21" customHeight="1" spans="1:42">
      <c r="A25" s="27"/>
      <c r="B25" s="12"/>
      <c r="C25" s="12"/>
      <c r="D25" s="28"/>
      <c r="E25" s="14"/>
      <c r="F25" s="12"/>
      <c r="G25" s="29"/>
      <c r="H25" s="29"/>
      <c r="I25" s="29"/>
      <c r="J25" s="29"/>
      <c r="K25" s="29"/>
      <c r="L25" s="12"/>
      <c r="M25" s="12"/>
      <c r="N25" s="30"/>
      <c r="O25" s="17"/>
      <c r="P25" s="31"/>
      <c r="Q25" s="19"/>
      <c r="R25" s="20"/>
      <c r="S25" s="21"/>
      <c r="T25" s="27"/>
      <c r="U25" s="27"/>
      <c r="V25" s="27"/>
      <c r="W25" s="27"/>
      <c r="X25" s="33"/>
      <c r="Y25" s="33"/>
      <c r="Z25" s="32"/>
      <c r="AA25" s="32"/>
      <c r="AB25" s="33"/>
      <c r="AC25" s="24"/>
      <c r="AD25" s="277">
        <v>79149</v>
      </c>
      <c r="AE25" s="278">
        <f>+(AD25+AD24+AD23)/AA23</f>
        <v>0.779998928481267</v>
      </c>
      <c r="AF25" s="279">
        <v>45869</v>
      </c>
      <c r="AG25" s="277"/>
      <c r="AH25" s="277">
        <v>50000</v>
      </c>
      <c r="AI25" s="277">
        <v>29149</v>
      </c>
      <c r="AJ25" s="277">
        <f>29149-AI25</f>
        <v>0</v>
      </c>
      <c r="AK25" s="277">
        <f>50000-AH25</f>
        <v>0</v>
      </c>
      <c r="AL25" s="277"/>
      <c r="AM25" s="277"/>
      <c r="AN25" s="277">
        <f>-AI25</f>
        <v>-29149</v>
      </c>
      <c r="AO25" s="280">
        <f>-AH25</f>
        <v>-50000</v>
      </c>
    </row>
    <row r="26" s="1" customFormat="1" ht="21" customHeight="1" spans="1:42">
      <c r="A26" s="34"/>
      <c r="B26" s="12"/>
      <c r="C26" s="12"/>
      <c r="D26" s="35"/>
      <c r="E26" s="14"/>
      <c r="F26" s="12"/>
      <c r="G26" s="36"/>
      <c r="H26" s="36"/>
      <c r="I26" s="36"/>
      <c r="J26" s="36"/>
      <c r="K26" s="36"/>
      <c r="L26" s="12"/>
      <c r="M26" s="12"/>
      <c r="N26" s="30"/>
      <c r="O26" s="17"/>
      <c r="P26" s="31"/>
      <c r="Q26" s="19"/>
      <c r="R26" s="20"/>
      <c r="S26" s="21"/>
      <c r="T26" s="34"/>
      <c r="U26" s="34"/>
      <c r="V26" s="34"/>
      <c r="W26" s="34"/>
      <c r="X26" s="38"/>
      <c r="Y26" s="38"/>
      <c r="Z26" s="37"/>
      <c r="AA26" s="37"/>
      <c r="AB26" s="38"/>
      <c r="AC26" s="24"/>
      <c r="AD26" s="281"/>
      <c r="AE26" s="282"/>
      <c r="AF26" s="281"/>
      <c r="AG26" s="281"/>
      <c r="AH26" s="281"/>
      <c r="AI26" s="281"/>
      <c r="AJ26" s="281"/>
      <c r="AK26" s="281"/>
      <c r="AL26" s="281"/>
      <c r="AM26" s="281"/>
      <c r="AN26" s="281">
        <f>+AP23</f>
        <v>80460.55</v>
      </c>
      <c r="AO26" s="283"/>
    </row>
    <row r="27" s="1" customFormat="1" ht="21" customHeight="1" spans="1:42">
      <c r="A27" s="11">
        <v>6</v>
      </c>
      <c r="B27" s="12" t="s">
        <v>42</v>
      </c>
      <c r="C27" s="12" t="s">
        <v>43</v>
      </c>
      <c r="D27" s="13" t="s">
        <v>60</v>
      </c>
      <c r="E27" s="14" t="s">
        <v>45</v>
      </c>
      <c r="F27" s="12" t="s">
        <v>61</v>
      </c>
      <c r="G27" s="15">
        <v>80</v>
      </c>
      <c r="H27" s="15">
        <v>45</v>
      </c>
      <c r="I27" s="15"/>
      <c r="J27" s="15">
        <v>30</v>
      </c>
      <c r="K27" s="15">
        <v>5</v>
      </c>
      <c r="L27" s="12" t="s">
        <v>47</v>
      </c>
      <c r="M27" s="12" t="str">
        <f>F27</f>
        <v>椹涧乡任庄村</v>
      </c>
      <c r="N27" s="30" t="s">
        <v>48</v>
      </c>
      <c r="O27" s="17">
        <v>45809</v>
      </c>
      <c r="P27" s="31" t="s">
        <v>49</v>
      </c>
      <c r="Q27" s="19" t="s">
        <v>50</v>
      </c>
      <c r="R27" s="20" t="s">
        <v>51</v>
      </c>
      <c r="S27" s="21"/>
      <c r="T27" s="11">
        <f>+H27+AH29/10000</f>
        <v>50</v>
      </c>
      <c r="U27" s="11">
        <f>+I27+AI29/10000</f>
        <v>2.9772</v>
      </c>
      <c r="V27" s="11">
        <f>+J27-U27</f>
        <v>27.0228</v>
      </c>
      <c r="W27" s="11">
        <f>+K27-AH29/10000</f>
        <v>0</v>
      </c>
      <c r="X27" s="23">
        <v>745184.36</v>
      </c>
      <c r="Y27" s="23">
        <v>745184.36</v>
      </c>
      <c r="Z27" s="22">
        <v>725193.97</v>
      </c>
      <c r="AA27" s="22">
        <v>725193.97</v>
      </c>
      <c r="AB27" s="23"/>
      <c r="AC27" s="24"/>
      <c r="AD27" s="268">
        <v>217558</v>
      </c>
      <c r="AE27" s="269">
        <f>+AD27/AA27</f>
        <v>0.29999973662219</v>
      </c>
      <c r="AF27" s="270">
        <v>45834</v>
      </c>
      <c r="AG27" s="268"/>
      <c r="AH27" s="268">
        <f>+AD27</f>
        <v>217558</v>
      </c>
      <c r="AI27" s="268"/>
      <c r="AJ27" s="268"/>
      <c r="AK27" s="268"/>
      <c r="AL27" s="268"/>
      <c r="AM27" s="268"/>
      <c r="AN27" s="268">
        <f>+G27*10000-AA27-AO27</f>
        <v>24806.03</v>
      </c>
      <c r="AO27" s="271">
        <f>+K27*10000</f>
        <v>50000</v>
      </c>
      <c r="AP27" s="1">
        <f>+G27*10000-AA27</f>
        <v>74806.03</v>
      </c>
    </row>
    <row r="28" s="1" customFormat="1" ht="21" customHeight="1" spans="1:42">
      <c r="A28" s="27"/>
      <c r="B28" s="12"/>
      <c r="C28" s="12"/>
      <c r="D28" s="28"/>
      <c r="E28" s="14"/>
      <c r="F28" s="12"/>
      <c r="G28" s="29"/>
      <c r="H28" s="29"/>
      <c r="I28" s="29"/>
      <c r="J28" s="29"/>
      <c r="K28" s="29"/>
      <c r="L28" s="12"/>
      <c r="M28" s="12"/>
      <c r="N28" s="30"/>
      <c r="O28" s="17"/>
      <c r="P28" s="31"/>
      <c r="Q28" s="19"/>
      <c r="R28" s="20"/>
      <c r="S28" s="21"/>
      <c r="T28" s="27"/>
      <c r="U28" s="27"/>
      <c r="V28" s="27"/>
      <c r="W28" s="27"/>
      <c r="X28" s="33"/>
      <c r="Y28" s="33"/>
      <c r="Z28" s="32"/>
      <c r="AA28" s="32"/>
      <c r="AB28" s="33"/>
      <c r="AC28" s="24"/>
      <c r="AD28" s="272">
        <v>268321</v>
      </c>
      <c r="AE28" s="273">
        <f>+(+AD27+AD28)/AA27</f>
        <v>0.669998676354135</v>
      </c>
      <c r="AF28" s="274">
        <v>45834</v>
      </c>
      <c r="AG28" s="272"/>
      <c r="AH28" s="272">
        <f>+H27*10000-AH27</f>
        <v>232442</v>
      </c>
      <c r="AI28" s="272"/>
      <c r="AJ28" s="272">
        <f>+AD28-AH28</f>
        <v>35879</v>
      </c>
      <c r="AK28" s="272"/>
      <c r="AL28" s="275"/>
      <c r="AM28" s="275"/>
      <c r="AN28" s="275"/>
      <c r="AO28" s="276"/>
    </row>
    <row r="29" s="1" customFormat="1" ht="21" customHeight="1" spans="1:42">
      <c r="A29" s="27"/>
      <c r="B29" s="12"/>
      <c r="C29" s="12"/>
      <c r="D29" s="28"/>
      <c r="E29" s="14"/>
      <c r="F29" s="12"/>
      <c r="G29" s="29"/>
      <c r="H29" s="29"/>
      <c r="I29" s="29"/>
      <c r="J29" s="29"/>
      <c r="K29" s="29"/>
      <c r="L29" s="12"/>
      <c r="M29" s="12"/>
      <c r="N29" s="30"/>
      <c r="O29" s="17"/>
      <c r="P29" s="31"/>
      <c r="Q29" s="19"/>
      <c r="R29" s="20"/>
      <c r="S29" s="21"/>
      <c r="T29" s="27"/>
      <c r="U29" s="27"/>
      <c r="V29" s="27"/>
      <c r="W29" s="27"/>
      <c r="X29" s="33"/>
      <c r="Y29" s="33"/>
      <c r="Z29" s="32"/>
      <c r="AA29" s="32"/>
      <c r="AB29" s="33"/>
      <c r="AC29" s="24"/>
      <c r="AD29" s="277">
        <v>79772</v>
      </c>
      <c r="AE29" s="278">
        <f>+(AD29+AD28+AD27)/AA27</f>
        <v>0.779999591005976</v>
      </c>
      <c r="AF29" s="279">
        <v>45869</v>
      </c>
      <c r="AG29" s="277"/>
      <c r="AH29" s="277">
        <v>50000</v>
      </c>
      <c r="AI29" s="277">
        <v>29772</v>
      </c>
      <c r="AJ29" s="277">
        <f>29772-AI29</f>
        <v>0</v>
      </c>
      <c r="AK29" s="277">
        <f>50000-AH29</f>
        <v>0</v>
      </c>
      <c r="AL29" s="277"/>
      <c r="AM29" s="277"/>
      <c r="AN29" s="277">
        <f>-AI29</f>
        <v>-29772</v>
      </c>
      <c r="AO29" s="280">
        <f>-AH29</f>
        <v>-50000</v>
      </c>
    </row>
    <row r="30" s="1" customFormat="1" ht="21" customHeight="1" spans="1:42">
      <c r="A30" s="34"/>
      <c r="B30" s="12"/>
      <c r="C30" s="12"/>
      <c r="D30" s="35"/>
      <c r="E30" s="14"/>
      <c r="F30" s="12"/>
      <c r="G30" s="36"/>
      <c r="H30" s="36"/>
      <c r="I30" s="36"/>
      <c r="J30" s="36"/>
      <c r="K30" s="36"/>
      <c r="L30" s="12"/>
      <c r="M30" s="12"/>
      <c r="N30" s="30"/>
      <c r="O30" s="17"/>
      <c r="P30" s="31"/>
      <c r="Q30" s="19"/>
      <c r="R30" s="20"/>
      <c r="S30" s="21"/>
      <c r="T30" s="34"/>
      <c r="U30" s="34"/>
      <c r="V30" s="34"/>
      <c r="W30" s="34"/>
      <c r="X30" s="38"/>
      <c r="Y30" s="38"/>
      <c r="Z30" s="37"/>
      <c r="AA30" s="37"/>
      <c r="AB30" s="38"/>
      <c r="AC30" s="24"/>
      <c r="AD30" s="281"/>
      <c r="AE30" s="282"/>
      <c r="AF30" s="281"/>
      <c r="AG30" s="281"/>
      <c r="AH30" s="281"/>
      <c r="AI30" s="281"/>
      <c r="AJ30" s="281"/>
      <c r="AK30" s="281"/>
      <c r="AL30" s="281"/>
      <c r="AM30" s="281"/>
      <c r="AN30" s="281">
        <f>+AP27</f>
        <v>74806.03</v>
      </c>
      <c r="AO30" s="283"/>
    </row>
    <row r="31" s="1" customFormat="1" ht="21" customHeight="1" spans="1:42">
      <c r="A31" s="11">
        <v>7</v>
      </c>
      <c r="B31" s="12" t="s">
        <v>42</v>
      </c>
      <c r="C31" s="12" t="s">
        <v>43</v>
      </c>
      <c r="D31" s="13" t="s">
        <v>62</v>
      </c>
      <c r="E31" s="14" t="s">
        <v>45</v>
      </c>
      <c r="F31" s="12" t="s">
        <v>63</v>
      </c>
      <c r="G31" s="15">
        <v>80</v>
      </c>
      <c r="H31" s="15">
        <v>45</v>
      </c>
      <c r="I31" s="15"/>
      <c r="J31" s="15">
        <v>30</v>
      </c>
      <c r="K31" s="15">
        <v>5</v>
      </c>
      <c r="L31" s="12" t="s">
        <v>47</v>
      </c>
      <c r="M31" s="12" t="str">
        <f>F31</f>
        <v>椹涧乡菜园村</v>
      </c>
      <c r="N31" s="30" t="s">
        <v>48</v>
      </c>
      <c r="O31" s="17">
        <v>45809</v>
      </c>
      <c r="P31" s="31" t="s">
        <v>49</v>
      </c>
      <c r="Q31" s="19" t="s">
        <v>50</v>
      </c>
      <c r="R31" s="20" t="s">
        <v>51</v>
      </c>
      <c r="S31" s="21"/>
      <c r="T31" s="11">
        <f>+H31+AH33/10000</f>
        <v>50</v>
      </c>
      <c r="U31" s="11">
        <f>+I31+AI33/10000</f>
        <v>2.9149</v>
      </c>
      <c r="V31" s="11">
        <f>+J31-U31</f>
        <v>27.0851</v>
      </c>
      <c r="W31" s="11">
        <f>+K31-AH33/10000</f>
        <v>0</v>
      </c>
      <c r="X31" s="23">
        <v>743083.25</v>
      </c>
      <c r="Y31" s="23">
        <v>743083.25</v>
      </c>
      <c r="Z31" s="22">
        <v>719539.45</v>
      </c>
      <c r="AA31" s="22">
        <v>719539.45</v>
      </c>
      <c r="AB31" s="23"/>
      <c r="AC31" s="24"/>
      <c r="AD31" s="268">
        <v>215861</v>
      </c>
      <c r="AE31" s="269">
        <f>+AD31/AA31</f>
        <v>0.299998839535483</v>
      </c>
      <c r="AF31" s="270">
        <v>45834</v>
      </c>
      <c r="AG31" s="268"/>
      <c r="AH31" s="268">
        <f>+AD31</f>
        <v>215861</v>
      </c>
      <c r="AI31" s="268"/>
      <c r="AJ31" s="268"/>
      <c r="AK31" s="268"/>
      <c r="AL31" s="268"/>
      <c r="AM31" s="268"/>
      <c r="AN31" s="268">
        <f>+G31*10000-AA31-AO31</f>
        <v>30460.55</v>
      </c>
      <c r="AO31" s="271">
        <f>+K31*10000</f>
        <v>50000</v>
      </c>
      <c r="AP31" s="1">
        <f>+G31*10000-AA31</f>
        <v>80460.55</v>
      </c>
    </row>
    <row r="32" s="1" customFormat="1" ht="21" customHeight="1" spans="1:42">
      <c r="A32" s="27"/>
      <c r="B32" s="12"/>
      <c r="C32" s="12"/>
      <c r="D32" s="28"/>
      <c r="E32" s="14"/>
      <c r="F32" s="12"/>
      <c r="G32" s="29"/>
      <c r="H32" s="29"/>
      <c r="I32" s="29"/>
      <c r="J32" s="29"/>
      <c r="K32" s="29"/>
      <c r="L32" s="12"/>
      <c r="M32" s="12"/>
      <c r="N32" s="30"/>
      <c r="O32" s="17"/>
      <c r="P32" s="31"/>
      <c r="Q32" s="19"/>
      <c r="R32" s="20"/>
      <c r="S32" s="21"/>
      <c r="T32" s="27"/>
      <c r="U32" s="27"/>
      <c r="V32" s="27"/>
      <c r="W32" s="27"/>
      <c r="X32" s="33"/>
      <c r="Y32" s="33"/>
      <c r="Z32" s="32"/>
      <c r="AA32" s="32"/>
      <c r="AB32" s="33"/>
      <c r="AC32" s="24"/>
      <c r="AD32" s="272">
        <v>266230</v>
      </c>
      <c r="AE32" s="273">
        <f>+(+AD31+AD32)/AA31</f>
        <v>0.669999400310852</v>
      </c>
      <c r="AF32" s="274">
        <v>45834</v>
      </c>
      <c r="AG32" s="272"/>
      <c r="AH32" s="272">
        <f>+H31*10000-AH31</f>
        <v>234139</v>
      </c>
      <c r="AI32" s="272"/>
      <c r="AJ32" s="272">
        <f>+AD32-AH32</f>
        <v>32091</v>
      </c>
      <c r="AK32" s="272"/>
      <c r="AL32" s="275"/>
      <c r="AM32" s="275"/>
      <c r="AN32" s="275"/>
      <c r="AO32" s="276"/>
    </row>
    <row r="33" s="1" customFormat="1" ht="21" customHeight="1" spans="1:42">
      <c r="A33" s="27"/>
      <c r="B33" s="12"/>
      <c r="C33" s="12"/>
      <c r="D33" s="28"/>
      <c r="E33" s="14"/>
      <c r="F33" s="12"/>
      <c r="G33" s="29"/>
      <c r="H33" s="29"/>
      <c r="I33" s="29"/>
      <c r="J33" s="29"/>
      <c r="K33" s="29"/>
      <c r="L33" s="12"/>
      <c r="M33" s="12"/>
      <c r="N33" s="30"/>
      <c r="O33" s="17"/>
      <c r="P33" s="31"/>
      <c r="Q33" s="19"/>
      <c r="R33" s="20"/>
      <c r="S33" s="21"/>
      <c r="T33" s="27"/>
      <c r="U33" s="27"/>
      <c r="V33" s="27"/>
      <c r="W33" s="27"/>
      <c r="X33" s="33"/>
      <c r="Y33" s="33"/>
      <c r="Z33" s="32"/>
      <c r="AA33" s="32"/>
      <c r="AB33" s="33"/>
      <c r="AC33" s="24"/>
      <c r="AD33" s="277">
        <v>79149</v>
      </c>
      <c r="AE33" s="278">
        <f>+(AD33+AD32+AD31)/AA31</f>
        <v>0.779998928481267</v>
      </c>
      <c r="AF33" s="279">
        <v>45869</v>
      </c>
      <c r="AG33" s="277"/>
      <c r="AH33" s="277">
        <v>50000</v>
      </c>
      <c r="AI33" s="277">
        <v>29149</v>
      </c>
      <c r="AJ33" s="277">
        <f>29149-AI33</f>
        <v>0</v>
      </c>
      <c r="AK33" s="277">
        <f>50000-AH33</f>
        <v>0</v>
      </c>
      <c r="AL33" s="277"/>
      <c r="AM33" s="277"/>
      <c r="AN33" s="277">
        <f>-AI33</f>
        <v>-29149</v>
      </c>
      <c r="AO33" s="280">
        <f>-AH33</f>
        <v>-50000</v>
      </c>
    </row>
    <row r="34" s="1" customFormat="1" ht="21" customHeight="1" spans="1:42">
      <c r="A34" s="34"/>
      <c r="B34" s="12"/>
      <c r="C34" s="12"/>
      <c r="D34" s="35"/>
      <c r="E34" s="14"/>
      <c r="F34" s="12"/>
      <c r="G34" s="36"/>
      <c r="H34" s="36"/>
      <c r="I34" s="36"/>
      <c r="J34" s="36"/>
      <c r="K34" s="36"/>
      <c r="L34" s="12"/>
      <c r="M34" s="12"/>
      <c r="N34" s="30"/>
      <c r="O34" s="17"/>
      <c r="P34" s="31"/>
      <c r="Q34" s="19"/>
      <c r="R34" s="20"/>
      <c r="S34" s="21"/>
      <c r="T34" s="34"/>
      <c r="U34" s="34"/>
      <c r="V34" s="34"/>
      <c r="W34" s="34"/>
      <c r="X34" s="38"/>
      <c r="Y34" s="38"/>
      <c r="Z34" s="37"/>
      <c r="AA34" s="37"/>
      <c r="AB34" s="38"/>
      <c r="AC34" s="24"/>
      <c r="AD34" s="281"/>
      <c r="AE34" s="282"/>
      <c r="AF34" s="281"/>
      <c r="AG34" s="281"/>
      <c r="AH34" s="281"/>
      <c r="AI34" s="281"/>
      <c r="AJ34" s="281"/>
      <c r="AK34" s="281"/>
      <c r="AL34" s="281"/>
      <c r="AM34" s="281"/>
      <c r="AN34" s="281">
        <f>+AP31</f>
        <v>80460.55</v>
      </c>
      <c r="AO34" s="283"/>
    </row>
    <row r="35" s="1" customFormat="1" ht="21" customHeight="1" spans="1:42">
      <c r="A35" s="11">
        <v>8</v>
      </c>
      <c r="B35" s="12" t="s">
        <v>42</v>
      </c>
      <c r="C35" s="12" t="s">
        <v>43</v>
      </c>
      <c r="D35" s="13" t="s">
        <v>64</v>
      </c>
      <c r="E35" s="14" t="s">
        <v>45</v>
      </c>
      <c r="F35" s="12" t="s">
        <v>65</v>
      </c>
      <c r="G35" s="15">
        <v>80</v>
      </c>
      <c r="H35" s="15">
        <v>45</v>
      </c>
      <c r="I35" s="15"/>
      <c r="J35" s="15">
        <v>30</v>
      </c>
      <c r="K35" s="15">
        <v>5</v>
      </c>
      <c r="L35" s="12" t="s">
        <v>47</v>
      </c>
      <c r="M35" s="12" t="str">
        <f>F35</f>
        <v>椹涧乡杨庄村</v>
      </c>
      <c r="N35" s="30" t="s">
        <v>48</v>
      </c>
      <c r="O35" s="17">
        <v>45809</v>
      </c>
      <c r="P35" s="31" t="s">
        <v>49</v>
      </c>
      <c r="Q35" s="19" t="s">
        <v>50</v>
      </c>
      <c r="R35" s="20" t="s">
        <v>51</v>
      </c>
      <c r="S35" s="21"/>
      <c r="T35" s="11">
        <f>+H35+AH37/10000</f>
        <v>50</v>
      </c>
      <c r="U35" s="11">
        <f>+I35+AI37/10000</f>
        <v>2.9616</v>
      </c>
      <c r="V35" s="11">
        <f>+J35-U35</f>
        <v>27.0384</v>
      </c>
      <c r="W35" s="11">
        <f>+K35-AH37/10000</f>
        <v>0</v>
      </c>
      <c r="X35" s="23">
        <v>743770.34</v>
      </c>
      <c r="Y35" s="23">
        <v>743770.34</v>
      </c>
      <c r="Z35" s="22">
        <v>723779.93</v>
      </c>
      <c r="AA35" s="22">
        <v>723779.93</v>
      </c>
      <c r="AB35" s="23"/>
      <c r="AC35" s="24"/>
      <c r="AD35" s="268">
        <v>217133</v>
      </c>
      <c r="AE35" s="269">
        <f>+AD35/AA35</f>
        <v>0.299998647378907</v>
      </c>
      <c r="AF35" s="270">
        <v>45834</v>
      </c>
      <c r="AG35" s="268"/>
      <c r="AH35" s="268">
        <f>+AD35</f>
        <v>217133</v>
      </c>
      <c r="AI35" s="268"/>
      <c r="AJ35" s="268"/>
      <c r="AK35" s="268"/>
      <c r="AL35" s="268"/>
      <c r="AM35" s="268"/>
      <c r="AN35" s="268">
        <f>+G35*10000-AA35-AO35</f>
        <v>26220.0699999999</v>
      </c>
      <c r="AO35" s="271">
        <f>+K35*10000</f>
        <v>50000</v>
      </c>
      <c r="AP35" s="1">
        <f>+G35*10000-AA35</f>
        <v>76220.0699999999</v>
      </c>
    </row>
    <row r="36" s="1" customFormat="1" ht="21" customHeight="1" spans="1:42">
      <c r="A36" s="27"/>
      <c r="B36" s="12"/>
      <c r="C36" s="12"/>
      <c r="D36" s="28"/>
      <c r="E36" s="14"/>
      <c r="F36" s="12"/>
      <c r="G36" s="29"/>
      <c r="H36" s="29"/>
      <c r="I36" s="29"/>
      <c r="J36" s="29"/>
      <c r="K36" s="29"/>
      <c r="L36" s="12"/>
      <c r="M36" s="12"/>
      <c r="N36" s="30"/>
      <c r="O36" s="17"/>
      <c r="P36" s="31"/>
      <c r="Q36" s="19"/>
      <c r="R36" s="20"/>
      <c r="S36" s="21"/>
      <c r="T36" s="27"/>
      <c r="U36" s="27"/>
      <c r="V36" s="27"/>
      <c r="W36" s="27"/>
      <c r="X36" s="33"/>
      <c r="Y36" s="33"/>
      <c r="Z36" s="32"/>
      <c r="AA36" s="32"/>
      <c r="AB36" s="33"/>
      <c r="AC36" s="24"/>
      <c r="AD36" s="272">
        <v>267799</v>
      </c>
      <c r="AE36" s="273">
        <f>+(+AD35+AD36)/AA35</f>
        <v>0.66999923581744</v>
      </c>
      <c r="AF36" s="274">
        <v>45834</v>
      </c>
      <c r="AG36" s="272"/>
      <c r="AH36" s="272">
        <f>+H35*10000-AH35</f>
        <v>232867</v>
      </c>
      <c r="AI36" s="272"/>
      <c r="AJ36" s="272">
        <f>+AD36-AH36</f>
        <v>34932</v>
      </c>
      <c r="AK36" s="272"/>
      <c r="AL36" s="275"/>
      <c r="AM36" s="275"/>
      <c r="AN36" s="275"/>
      <c r="AO36" s="276"/>
    </row>
    <row r="37" s="1" customFormat="1" ht="21" customHeight="1" spans="1:42">
      <c r="A37" s="27"/>
      <c r="B37" s="12"/>
      <c r="C37" s="12"/>
      <c r="D37" s="28"/>
      <c r="E37" s="14"/>
      <c r="F37" s="12"/>
      <c r="G37" s="29"/>
      <c r="H37" s="29"/>
      <c r="I37" s="29"/>
      <c r="J37" s="29"/>
      <c r="K37" s="29"/>
      <c r="L37" s="12"/>
      <c r="M37" s="12"/>
      <c r="N37" s="30"/>
      <c r="O37" s="17"/>
      <c r="P37" s="31"/>
      <c r="Q37" s="19"/>
      <c r="R37" s="20"/>
      <c r="S37" s="21"/>
      <c r="T37" s="27"/>
      <c r="U37" s="27"/>
      <c r="V37" s="27"/>
      <c r="W37" s="27"/>
      <c r="X37" s="33"/>
      <c r="Y37" s="33"/>
      <c r="Z37" s="32"/>
      <c r="AA37" s="32"/>
      <c r="AB37" s="33"/>
      <c r="AC37" s="24"/>
      <c r="AD37" s="277">
        <v>79616</v>
      </c>
      <c r="AE37" s="278">
        <f>+(AD37+AD36+AD35)/AA35</f>
        <v>0.77999952278312</v>
      </c>
      <c r="AF37" s="279">
        <v>45869</v>
      </c>
      <c r="AG37" s="277"/>
      <c r="AH37" s="277">
        <v>50000</v>
      </c>
      <c r="AI37" s="277">
        <v>29616</v>
      </c>
      <c r="AJ37" s="277">
        <f>29616-AI37</f>
        <v>0</v>
      </c>
      <c r="AK37" s="277">
        <f>50000-AH37</f>
        <v>0</v>
      </c>
      <c r="AL37" s="277"/>
      <c r="AM37" s="277"/>
      <c r="AN37" s="277">
        <f>-AI37</f>
        <v>-29616</v>
      </c>
      <c r="AO37" s="280">
        <f>-AH37</f>
        <v>-50000</v>
      </c>
    </row>
    <row r="38" s="1" customFormat="1" ht="21" customHeight="1" spans="1:42">
      <c r="A38" s="34"/>
      <c r="B38" s="12"/>
      <c r="C38" s="12"/>
      <c r="D38" s="35"/>
      <c r="E38" s="14"/>
      <c r="F38" s="12"/>
      <c r="G38" s="36"/>
      <c r="H38" s="36"/>
      <c r="I38" s="36"/>
      <c r="J38" s="36"/>
      <c r="K38" s="36"/>
      <c r="L38" s="12"/>
      <c r="M38" s="12"/>
      <c r="N38" s="30"/>
      <c r="O38" s="17"/>
      <c r="P38" s="31"/>
      <c r="Q38" s="19"/>
      <c r="R38" s="20"/>
      <c r="S38" s="21"/>
      <c r="T38" s="34"/>
      <c r="U38" s="34"/>
      <c r="V38" s="34"/>
      <c r="W38" s="34"/>
      <c r="X38" s="38"/>
      <c r="Y38" s="38"/>
      <c r="Z38" s="37"/>
      <c r="AA38" s="37"/>
      <c r="AB38" s="38"/>
      <c r="AC38" s="24"/>
      <c r="AD38" s="281"/>
      <c r="AE38" s="282"/>
      <c r="AF38" s="281"/>
      <c r="AG38" s="281"/>
      <c r="AH38" s="281"/>
      <c r="AI38" s="281"/>
      <c r="AJ38" s="281"/>
      <c r="AK38" s="281"/>
      <c r="AL38" s="281"/>
      <c r="AM38" s="281"/>
      <c r="AN38" s="281">
        <f>+AP35</f>
        <v>76220.0699999999</v>
      </c>
      <c r="AO38" s="283"/>
    </row>
    <row r="39" s="1" customFormat="1" ht="21" customHeight="1" spans="1:42">
      <c r="A39" s="11">
        <v>9</v>
      </c>
      <c r="B39" s="12" t="s">
        <v>42</v>
      </c>
      <c r="C39" s="12" t="s">
        <v>43</v>
      </c>
      <c r="D39" s="13" t="s">
        <v>66</v>
      </c>
      <c r="E39" s="14" t="s">
        <v>45</v>
      </c>
      <c r="F39" s="12" t="s">
        <v>67</v>
      </c>
      <c r="G39" s="15">
        <v>80</v>
      </c>
      <c r="H39" s="15">
        <v>45</v>
      </c>
      <c r="I39" s="15"/>
      <c r="J39" s="15">
        <v>30</v>
      </c>
      <c r="K39" s="15">
        <v>5</v>
      </c>
      <c r="L39" s="12" t="s">
        <v>47</v>
      </c>
      <c r="M39" s="12" t="str">
        <f>F39</f>
        <v>椹涧乡岗杨村</v>
      </c>
      <c r="N39" s="30" t="s">
        <v>48</v>
      </c>
      <c r="O39" s="17">
        <v>45809</v>
      </c>
      <c r="P39" s="31" t="s">
        <v>49</v>
      </c>
      <c r="Q39" s="19" t="s">
        <v>50</v>
      </c>
      <c r="R39" s="20" t="s">
        <v>51</v>
      </c>
      <c r="S39" s="21"/>
      <c r="T39" s="11">
        <f>+H39+AH41/10000</f>
        <v>50</v>
      </c>
      <c r="U39" s="11">
        <f>+I39+AI41/10000</f>
        <v>2.9772</v>
      </c>
      <c r="V39" s="11">
        <f>+J39-U39</f>
        <v>27.0228</v>
      </c>
      <c r="W39" s="11">
        <f>+K39-AH41/10000</f>
        <v>0</v>
      </c>
      <c r="X39" s="23">
        <v>745184.36</v>
      </c>
      <c r="Y39" s="23">
        <v>745184.36</v>
      </c>
      <c r="Z39" s="22">
        <v>725193.97</v>
      </c>
      <c r="AA39" s="22">
        <v>725193.97</v>
      </c>
      <c r="AB39" s="23"/>
      <c r="AC39" s="24"/>
      <c r="AD39" s="268">
        <v>217558</v>
      </c>
      <c r="AE39" s="269">
        <f>+AD39/AA39</f>
        <v>0.29999973662219</v>
      </c>
      <c r="AF39" s="270">
        <v>45834</v>
      </c>
      <c r="AG39" s="268"/>
      <c r="AH39" s="268">
        <f>+AD39</f>
        <v>217558</v>
      </c>
      <c r="AI39" s="268"/>
      <c r="AJ39" s="268"/>
      <c r="AK39" s="268"/>
      <c r="AL39" s="268"/>
      <c r="AM39" s="268"/>
      <c r="AN39" s="268">
        <f>+G39*10000-AA39-AO39</f>
        <v>24806.03</v>
      </c>
      <c r="AO39" s="271">
        <f>+K39*10000</f>
        <v>50000</v>
      </c>
      <c r="AP39" s="1">
        <f>+G39*10000-AA39</f>
        <v>74806.03</v>
      </c>
    </row>
    <row r="40" s="1" customFormat="1" ht="21" customHeight="1" spans="1:42">
      <c r="A40" s="27"/>
      <c r="B40" s="12"/>
      <c r="C40" s="12"/>
      <c r="D40" s="28"/>
      <c r="E40" s="14"/>
      <c r="F40" s="12"/>
      <c r="G40" s="29"/>
      <c r="H40" s="29"/>
      <c r="I40" s="29"/>
      <c r="J40" s="29"/>
      <c r="K40" s="29"/>
      <c r="L40" s="12"/>
      <c r="M40" s="12"/>
      <c r="N40" s="30"/>
      <c r="O40" s="17"/>
      <c r="P40" s="31"/>
      <c r="Q40" s="19"/>
      <c r="R40" s="20"/>
      <c r="S40" s="21"/>
      <c r="T40" s="27"/>
      <c r="U40" s="27"/>
      <c r="V40" s="27"/>
      <c r="W40" s="27"/>
      <c r="X40" s="33"/>
      <c r="Y40" s="33"/>
      <c r="Z40" s="32"/>
      <c r="AA40" s="32"/>
      <c r="AB40" s="33"/>
      <c r="AC40" s="24"/>
      <c r="AD40" s="272">
        <v>268321</v>
      </c>
      <c r="AE40" s="273">
        <f>+(+AD39+AD40)/AA39</f>
        <v>0.669998676354135</v>
      </c>
      <c r="AF40" s="274">
        <v>45834</v>
      </c>
      <c r="AG40" s="272"/>
      <c r="AH40" s="272">
        <f>+H39*10000-AH39</f>
        <v>232442</v>
      </c>
      <c r="AI40" s="272"/>
      <c r="AJ40" s="272">
        <f>+AD40-AH40</f>
        <v>35879</v>
      </c>
      <c r="AK40" s="272"/>
      <c r="AL40" s="275"/>
      <c r="AM40" s="275"/>
      <c r="AN40" s="275"/>
      <c r="AO40" s="276"/>
    </row>
    <row r="41" s="1" customFormat="1" ht="21" customHeight="1" spans="1:42">
      <c r="A41" s="27"/>
      <c r="B41" s="12"/>
      <c r="C41" s="12"/>
      <c r="D41" s="28"/>
      <c r="E41" s="14"/>
      <c r="F41" s="12"/>
      <c r="G41" s="29"/>
      <c r="H41" s="29"/>
      <c r="I41" s="29"/>
      <c r="J41" s="29"/>
      <c r="K41" s="29"/>
      <c r="L41" s="12"/>
      <c r="M41" s="12"/>
      <c r="N41" s="30"/>
      <c r="O41" s="17"/>
      <c r="P41" s="31"/>
      <c r="Q41" s="19"/>
      <c r="R41" s="20"/>
      <c r="S41" s="21"/>
      <c r="T41" s="27"/>
      <c r="U41" s="27"/>
      <c r="V41" s="27"/>
      <c r="W41" s="27"/>
      <c r="X41" s="33"/>
      <c r="Y41" s="33"/>
      <c r="Z41" s="32"/>
      <c r="AA41" s="32"/>
      <c r="AB41" s="33"/>
      <c r="AC41" s="24"/>
      <c r="AD41" s="277">
        <v>79772</v>
      </c>
      <c r="AE41" s="278">
        <f>+(AD41+AD40+AD39)/AA39</f>
        <v>0.779999591005976</v>
      </c>
      <c r="AF41" s="279">
        <v>45869</v>
      </c>
      <c r="AG41" s="277"/>
      <c r="AH41" s="277">
        <v>50000</v>
      </c>
      <c r="AI41" s="277">
        <v>29772</v>
      </c>
      <c r="AJ41" s="277">
        <f>29772-AI41</f>
        <v>0</v>
      </c>
      <c r="AK41" s="277">
        <f>50000-AH41</f>
        <v>0</v>
      </c>
      <c r="AL41" s="277"/>
      <c r="AM41" s="277"/>
      <c r="AN41" s="277">
        <f>-AI41</f>
        <v>-29772</v>
      </c>
      <c r="AO41" s="280">
        <f>-AH41</f>
        <v>-50000</v>
      </c>
    </row>
    <row r="42" s="1" customFormat="1" ht="21" customHeight="1" spans="1:42">
      <c r="A42" s="34"/>
      <c r="B42" s="12"/>
      <c r="C42" s="12"/>
      <c r="D42" s="35"/>
      <c r="E42" s="14"/>
      <c r="F42" s="12"/>
      <c r="G42" s="36"/>
      <c r="H42" s="36"/>
      <c r="I42" s="36"/>
      <c r="J42" s="36"/>
      <c r="K42" s="36"/>
      <c r="L42" s="12"/>
      <c r="M42" s="12"/>
      <c r="N42" s="30"/>
      <c r="O42" s="17"/>
      <c r="P42" s="31"/>
      <c r="Q42" s="19"/>
      <c r="R42" s="20"/>
      <c r="S42" s="21"/>
      <c r="T42" s="34"/>
      <c r="U42" s="34"/>
      <c r="V42" s="34"/>
      <c r="W42" s="34"/>
      <c r="X42" s="38"/>
      <c r="Y42" s="38"/>
      <c r="Z42" s="37"/>
      <c r="AA42" s="37"/>
      <c r="AB42" s="38"/>
      <c r="AC42" s="24"/>
      <c r="AD42" s="281"/>
      <c r="AE42" s="282"/>
      <c r="AF42" s="281"/>
      <c r="AG42" s="281"/>
      <c r="AH42" s="281"/>
      <c r="AI42" s="281"/>
      <c r="AJ42" s="281"/>
      <c r="AK42" s="281"/>
      <c r="AL42" s="281"/>
      <c r="AM42" s="281"/>
      <c r="AN42" s="281">
        <f>+AP39</f>
        <v>74806.03</v>
      </c>
      <c r="AO42" s="283"/>
    </row>
    <row r="43" s="1" customFormat="1" ht="21" customHeight="1" spans="1:42">
      <c r="A43" s="11">
        <v>10</v>
      </c>
      <c r="B43" s="12" t="s">
        <v>42</v>
      </c>
      <c r="C43" s="12" t="s">
        <v>43</v>
      </c>
      <c r="D43" s="13" t="s">
        <v>68</v>
      </c>
      <c r="E43" s="14" t="s">
        <v>45</v>
      </c>
      <c r="F43" s="12" t="s">
        <v>69</v>
      </c>
      <c r="G43" s="15">
        <v>80</v>
      </c>
      <c r="H43" s="15">
        <v>45</v>
      </c>
      <c r="I43" s="15"/>
      <c r="J43" s="15">
        <v>30</v>
      </c>
      <c r="K43" s="15">
        <v>5</v>
      </c>
      <c r="L43" s="12" t="s">
        <v>47</v>
      </c>
      <c r="M43" s="12" t="str">
        <f>F43</f>
        <v>椹涧乡朱山村</v>
      </c>
      <c r="N43" s="30" t="s">
        <v>48</v>
      </c>
      <c r="O43" s="17">
        <v>45809</v>
      </c>
      <c r="P43" s="31" t="s">
        <v>49</v>
      </c>
      <c r="Q43" s="19" t="s">
        <v>50</v>
      </c>
      <c r="R43" s="20" t="s">
        <v>51</v>
      </c>
      <c r="S43" s="21"/>
      <c r="T43" s="11">
        <f>+H43+AH45/10000</f>
        <v>50</v>
      </c>
      <c r="U43" s="11">
        <f>+I43+AI45/10000</f>
        <v>2.9149</v>
      </c>
      <c r="V43" s="11">
        <f>+J43-U43</f>
        <v>27.0851</v>
      </c>
      <c r="W43" s="11">
        <f>+K43-AH45/10000</f>
        <v>0</v>
      </c>
      <c r="X43" s="23">
        <v>743083.25</v>
      </c>
      <c r="Y43" s="23">
        <v>743083.25</v>
      </c>
      <c r="Z43" s="22">
        <v>719539.45</v>
      </c>
      <c r="AA43" s="22">
        <v>719539.45</v>
      </c>
      <c r="AB43" s="23"/>
      <c r="AC43" s="24"/>
      <c r="AD43" s="268">
        <v>215861</v>
      </c>
      <c r="AE43" s="269">
        <f>+AD43/AA43</f>
        <v>0.299998839535483</v>
      </c>
      <c r="AF43" s="270">
        <v>45834</v>
      </c>
      <c r="AG43" s="268"/>
      <c r="AH43" s="268">
        <f>+AD43</f>
        <v>215861</v>
      </c>
      <c r="AI43" s="268"/>
      <c r="AJ43" s="268"/>
      <c r="AK43" s="268"/>
      <c r="AL43" s="268"/>
      <c r="AM43" s="268"/>
      <c r="AN43" s="268">
        <f>+G43*10000-AA43-AO43</f>
        <v>30460.55</v>
      </c>
      <c r="AO43" s="271">
        <f>+K43*10000</f>
        <v>50000</v>
      </c>
      <c r="AP43" s="1">
        <f>+G43*10000-AA43</f>
        <v>80460.55</v>
      </c>
    </row>
    <row r="44" s="1" customFormat="1" ht="21" customHeight="1" spans="1:42">
      <c r="A44" s="27"/>
      <c r="B44" s="12"/>
      <c r="C44" s="12"/>
      <c r="D44" s="28"/>
      <c r="E44" s="14"/>
      <c r="F44" s="12"/>
      <c r="G44" s="29"/>
      <c r="H44" s="29"/>
      <c r="I44" s="29"/>
      <c r="J44" s="29"/>
      <c r="K44" s="29"/>
      <c r="L44" s="12"/>
      <c r="M44" s="12"/>
      <c r="N44" s="30"/>
      <c r="O44" s="17"/>
      <c r="P44" s="31"/>
      <c r="Q44" s="19"/>
      <c r="R44" s="20"/>
      <c r="S44" s="21"/>
      <c r="T44" s="27"/>
      <c r="U44" s="27"/>
      <c r="V44" s="27"/>
      <c r="W44" s="27"/>
      <c r="X44" s="33"/>
      <c r="Y44" s="33"/>
      <c r="Z44" s="32"/>
      <c r="AA44" s="32"/>
      <c r="AB44" s="33"/>
      <c r="AC44" s="24"/>
      <c r="AD44" s="272">
        <v>266230</v>
      </c>
      <c r="AE44" s="273">
        <f>+(+AD43+AD44)/AA43</f>
        <v>0.669999400310852</v>
      </c>
      <c r="AF44" s="274">
        <v>45834</v>
      </c>
      <c r="AG44" s="272"/>
      <c r="AH44" s="272">
        <f>+H43*10000-AH43</f>
        <v>234139</v>
      </c>
      <c r="AI44" s="272"/>
      <c r="AJ44" s="272">
        <f>+AD44-AH44</f>
        <v>32091</v>
      </c>
      <c r="AK44" s="272"/>
      <c r="AL44" s="275"/>
      <c r="AM44" s="275"/>
      <c r="AN44" s="275"/>
      <c r="AO44" s="276"/>
    </row>
    <row r="45" s="1" customFormat="1" ht="21" customHeight="1" spans="1:42">
      <c r="A45" s="27"/>
      <c r="B45" s="12"/>
      <c r="C45" s="12"/>
      <c r="D45" s="28"/>
      <c r="E45" s="14"/>
      <c r="F45" s="12"/>
      <c r="G45" s="29"/>
      <c r="H45" s="29"/>
      <c r="I45" s="29"/>
      <c r="J45" s="29"/>
      <c r="K45" s="29"/>
      <c r="L45" s="12"/>
      <c r="M45" s="12"/>
      <c r="N45" s="30"/>
      <c r="O45" s="17"/>
      <c r="P45" s="31"/>
      <c r="Q45" s="19"/>
      <c r="R45" s="20"/>
      <c r="S45" s="21"/>
      <c r="T45" s="27"/>
      <c r="U45" s="27"/>
      <c r="V45" s="27"/>
      <c r="W45" s="27"/>
      <c r="X45" s="33"/>
      <c r="Y45" s="33"/>
      <c r="Z45" s="32"/>
      <c r="AA45" s="32"/>
      <c r="AB45" s="33"/>
      <c r="AC45" s="24"/>
      <c r="AD45" s="277">
        <v>79149</v>
      </c>
      <c r="AE45" s="278">
        <f>+(AD45+AD44+AD43)/AA43</f>
        <v>0.779998928481267</v>
      </c>
      <c r="AF45" s="279">
        <v>45869</v>
      </c>
      <c r="AG45" s="277"/>
      <c r="AH45" s="277">
        <v>50000</v>
      </c>
      <c r="AI45" s="277">
        <v>29149</v>
      </c>
      <c r="AJ45" s="277">
        <f>29149-AI45</f>
        <v>0</v>
      </c>
      <c r="AK45" s="277">
        <f>50000-AH45</f>
        <v>0</v>
      </c>
      <c r="AL45" s="277"/>
      <c r="AM45" s="277"/>
      <c r="AN45" s="277">
        <f>-AI45</f>
        <v>-29149</v>
      </c>
      <c r="AO45" s="280">
        <f>-AH45</f>
        <v>-50000</v>
      </c>
    </row>
    <row r="46" s="1" customFormat="1" ht="21" customHeight="1" spans="1:42">
      <c r="A46" s="34"/>
      <c r="B46" s="12"/>
      <c r="C46" s="12"/>
      <c r="D46" s="35"/>
      <c r="E46" s="14"/>
      <c r="F46" s="12"/>
      <c r="G46" s="36"/>
      <c r="H46" s="36"/>
      <c r="I46" s="36"/>
      <c r="J46" s="36"/>
      <c r="K46" s="36"/>
      <c r="L46" s="12"/>
      <c r="M46" s="12"/>
      <c r="N46" s="30"/>
      <c r="O46" s="17"/>
      <c r="P46" s="31"/>
      <c r="Q46" s="19"/>
      <c r="R46" s="20"/>
      <c r="S46" s="21"/>
      <c r="T46" s="34"/>
      <c r="U46" s="34"/>
      <c r="V46" s="34"/>
      <c r="W46" s="34"/>
      <c r="X46" s="38"/>
      <c r="Y46" s="38"/>
      <c r="Z46" s="37"/>
      <c r="AA46" s="37"/>
      <c r="AB46" s="38"/>
      <c r="AC46" s="24"/>
      <c r="AD46" s="281"/>
      <c r="AE46" s="282"/>
      <c r="AF46" s="281"/>
      <c r="AG46" s="281"/>
      <c r="AH46" s="281"/>
      <c r="AI46" s="281"/>
      <c r="AJ46" s="281"/>
      <c r="AK46" s="281"/>
      <c r="AL46" s="281"/>
      <c r="AM46" s="281"/>
      <c r="AN46" s="281">
        <f>+AP43</f>
        <v>80460.55</v>
      </c>
      <c r="AO46" s="283"/>
    </row>
    <row r="47" s="1" customFormat="1" ht="21" customHeight="1" spans="1:42">
      <c r="A47" s="11">
        <v>11</v>
      </c>
      <c r="B47" s="12" t="s">
        <v>42</v>
      </c>
      <c r="C47" s="12" t="s">
        <v>43</v>
      </c>
      <c r="D47" s="13" t="s">
        <v>70</v>
      </c>
      <c r="E47" s="14" t="s">
        <v>45</v>
      </c>
      <c r="F47" s="12" t="s">
        <v>71</v>
      </c>
      <c r="G47" s="15">
        <v>80</v>
      </c>
      <c r="H47" s="15">
        <v>45</v>
      </c>
      <c r="I47" s="15"/>
      <c r="J47" s="15">
        <v>30</v>
      </c>
      <c r="K47" s="15">
        <v>5</v>
      </c>
      <c r="L47" s="12" t="s">
        <v>47</v>
      </c>
      <c r="M47" s="12" t="str">
        <f>F47</f>
        <v>榆林乡大岗李村</v>
      </c>
      <c r="N47" s="30" t="s">
        <v>72</v>
      </c>
      <c r="O47" s="17">
        <v>45809</v>
      </c>
      <c r="P47" s="31" t="s">
        <v>49</v>
      </c>
      <c r="Q47" s="19" t="s">
        <v>50</v>
      </c>
      <c r="R47" s="20" t="s">
        <v>51</v>
      </c>
      <c r="S47" s="21"/>
      <c r="T47" s="11">
        <f>+H47+AH49/10000</f>
        <v>50</v>
      </c>
      <c r="U47" s="11">
        <f>+I47+AI49/10000</f>
        <v>2.9149</v>
      </c>
      <c r="V47" s="11">
        <f>+J47-U47</f>
        <v>27.0851</v>
      </c>
      <c r="W47" s="11">
        <f>+K47-AH49/10000</f>
        <v>0</v>
      </c>
      <c r="X47" s="23">
        <v>743083.25</v>
      </c>
      <c r="Y47" s="23">
        <v>743083.25</v>
      </c>
      <c r="Z47" s="22">
        <v>719539.45</v>
      </c>
      <c r="AA47" s="22">
        <v>719539.45</v>
      </c>
      <c r="AB47" s="23"/>
      <c r="AC47" s="24"/>
      <c r="AD47" s="268">
        <v>215861</v>
      </c>
      <c r="AE47" s="269">
        <f>+AD47/AA47</f>
        <v>0.299998839535483</v>
      </c>
      <c r="AF47" s="270">
        <v>45834</v>
      </c>
      <c r="AG47" s="268"/>
      <c r="AH47" s="268">
        <f>+AD47</f>
        <v>215861</v>
      </c>
      <c r="AI47" s="268"/>
      <c r="AJ47" s="268"/>
      <c r="AK47" s="268"/>
      <c r="AL47" s="268"/>
      <c r="AM47" s="268"/>
      <c r="AN47" s="268">
        <f>+G47*10000-AA47-AO47</f>
        <v>30460.55</v>
      </c>
      <c r="AO47" s="271">
        <f>+K47*10000</f>
        <v>50000</v>
      </c>
      <c r="AP47" s="1">
        <f>+G47*10000-AA47</f>
        <v>80460.55</v>
      </c>
    </row>
    <row r="48" s="1" customFormat="1" ht="21" customHeight="1" spans="1:42">
      <c r="A48" s="27"/>
      <c r="B48" s="12"/>
      <c r="C48" s="12"/>
      <c r="D48" s="28"/>
      <c r="E48" s="14"/>
      <c r="F48" s="12"/>
      <c r="G48" s="29"/>
      <c r="H48" s="29"/>
      <c r="I48" s="29"/>
      <c r="J48" s="29"/>
      <c r="K48" s="29"/>
      <c r="L48" s="12"/>
      <c r="M48" s="12"/>
      <c r="N48" s="30"/>
      <c r="O48" s="17"/>
      <c r="P48" s="31"/>
      <c r="Q48" s="19"/>
      <c r="R48" s="20"/>
      <c r="S48" s="21"/>
      <c r="T48" s="27"/>
      <c r="U48" s="27"/>
      <c r="V48" s="27"/>
      <c r="W48" s="27"/>
      <c r="X48" s="33"/>
      <c r="Y48" s="33"/>
      <c r="Z48" s="32"/>
      <c r="AA48" s="32"/>
      <c r="AB48" s="33"/>
      <c r="AC48" s="24"/>
      <c r="AD48" s="272">
        <v>266230</v>
      </c>
      <c r="AE48" s="273">
        <f>+(+AD47+AD48)/AA47</f>
        <v>0.669999400310852</v>
      </c>
      <c r="AF48" s="274">
        <v>45834</v>
      </c>
      <c r="AG48" s="272"/>
      <c r="AH48" s="272">
        <f>+H47*10000-AH47</f>
        <v>234139</v>
      </c>
      <c r="AI48" s="272"/>
      <c r="AJ48" s="272">
        <f>+AD48-AH48</f>
        <v>32091</v>
      </c>
      <c r="AK48" s="272"/>
      <c r="AL48" s="275"/>
      <c r="AM48" s="275"/>
      <c r="AN48" s="275"/>
      <c r="AO48" s="276"/>
    </row>
    <row r="49" s="1" customFormat="1" ht="21" customHeight="1" spans="1:42">
      <c r="A49" s="27"/>
      <c r="B49" s="12"/>
      <c r="C49" s="12"/>
      <c r="D49" s="28"/>
      <c r="E49" s="14"/>
      <c r="F49" s="12"/>
      <c r="G49" s="29"/>
      <c r="H49" s="29"/>
      <c r="I49" s="29"/>
      <c r="J49" s="29"/>
      <c r="K49" s="29"/>
      <c r="L49" s="12"/>
      <c r="M49" s="12"/>
      <c r="N49" s="30"/>
      <c r="O49" s="17"/>
      <c r="P49" s="31"/>
      <c r="Q49" s="19"/>
      <c r="R49" s="20"/>
      <c r="S49" s="21"/>
      <c r="T49" s="27"/>
      <c r="U49" s="27"/>
      <c r="V49" s="27"/>
      <c r="W49" s="27"/>
      <c r="X49" s="33"/>
      <c r="Y49" s="33"/>
      <c r="Z49" s="32"/>
      <c r="AA49" s="32"/>
      <c r="AB49" s="33"/>
      <c r="AC49" s="24"/>
      <c r="AD49" s="277">
        <v>79149</v>
      </c>
      <c r="AE49" s="278">
        <f>+(AD49+AD48+AD47)/AA47</f>
        <v>0.779998928481267</v>
      </c>
      <c r="AF49" s="279">
        <v>45869</v>
      </c>
      <c r="AG49" s="277"/>
      <c r="AH49" s="277">
        <v>50000</v>
      </c>
      <c r="AI49" s="277">
        <v>29149</v>
      </c>
      <c r="AJ49" s="277">
        <f>29149-AI49</f>
        <v>0</v>
      </c>
      <c r="AK49" s="277">
        <f>50000-AH49</f>
        <v>0</v>
      </c>
      <c r="AL49" s="277"/>
      <c r="AM49" s="277"/>
      <c r="AN49" s="277">
        <f>-AI49</f>
        <v>-29149</v>
      </c>
      <c r="AO49" s="280">
        <f>-AH49</f>
        <v>-50000</v>
      </c>
    </row>
    <row r="50" s="1" customFormat="1" ht="21" customHeight="1" spans="1:42">
      <c r="A50" s="34"/>
      <c r="B50" s="12"/>
      <c r="C50" s="12"/>
      <c r="D50" s="35"/>
      <c r="E50" s="14"/>
      <c r="F50" s="12"/>
      <c r="G50" s="36"/>
      <c r="H50" s="36"/>
      <c r="I50" s="36"/>
      <c r="J50" s="36"/>
      <c r="K50" s="36"/>
      <c r="L50" s="12"/>
      <c r="M50" s="12"/>
      <c r="N50" s="30"/>
      <c r="O50" s="17"/>
      <c r="P50" s="31"/>
      <c r="Q50" s="19"/>
      <c r="R50" s="20"/>
      <c r="S50" s="21"/>
      <c r="T50" s="34"/>
      <c r="U50" s="34"/>
      <c r="V50" s="34"/>
      <c r="W50" s="34"/>
      <c r="X50" s="38"/>
      <c r="Y50" s="38"/>
      <c r="Z50" s="37"/>
      <c r="AA50" s="37"/>
      <c r="AB50" s="38"/>
      <c r="AC50" s="24"/>
      <c r="AD50" s="281"/>
      <c r="AE50" s="282"/>
      <c r="AF50" s="281"/>
      <c r="AG50" s="281"/>
      <c r="AH50" s="281"/>
      <c r="AI50" s="281"/>
      <c r="AJ50" s="281"/>
      <c r="AK50" s="281"/>
      <c r="AL50" s="281"/>
      <c r="AM50" s="281"/>
      <c r="AN50" s="281">
        <f>+AP47</f>
        <v>80460.55</v>
      </c>
      <c r="AO50" s="283"/>
    </row>
    <row r="51" s="1" customFormat="1" ht="21" customHeight="1" spans="1:42">
      <c r="A51" s="11">
        <v>12</v>
      </c>
      <c r="B51" s="12" t="s">
        <v>42</v>
      </c>
      <c r="C51" s="12" t="s">
        <v>43</v>
      </c>
      <c r="D51" s="13" t="s">
        <v>73</v>
      </c>
      <c r="E51" s="14" t="s">
        <v>45</v>
      </c>
      <c r="F51" s="12" t="s">
        <v>74</v>
      </c>
      <c r="G51" s="15">
        <v>80</v>
      </c>
      <c r="H51" s="15">
        <v>45</v>
      </c>
      <c r="I51" s="15"/>
      <c r="J51" s="15">
        <v>30</v>
      </c>
      <c r="K51" s="15">
        <v>5</v>
      </c>
      <c r="L51" s="12" t="s">
        <v>47</v>
      </c>
      <c r="M51" s="12" t="str">
        <f>F51</f>
        <v>榆林乡桓坡村</v>
      </c>
      <c r="N51" s="30" t="s">
        <v>72</v>
      </c>
      <c r="O51" s="17">
        <v>45809</v>
      </c>
      <c r="P51" s="31" t="s">
        <v>49</v>
      </c>
      <c r="Q51" s="19" t="s">
        <v>50</v>
      </c>
      <c r="R51" s="20" t="s">
        <v>51</v>
      </c>
      <c r="S51" s="21"/>
      <c r="T51" s="11">
        <f>+H51+AH53/10000</f>
        <v>50</v>
      </c>
      <c r="U51" s="11">
        <f>+I51+AI53/10000</f>
        <v>2.9149</v>
      </c>
      <c r="V51" s="11">
        <f>+J51-U51</f>
        <v>27.0851</v>
      </c>
      <c r="W51" s="11">
        <f>+K51-AH53/10000</f>
        <v>0</v>
      </c>
      <c r="X51" s="23">
        <v>743083.25</v>
      </c>
      <c r="Y51" s="23">
        <v>743083.25</v>
      </c>
      <c r="Z51" s="22">
        <v>719539.45</v>
      </c>
      <c r="AA51" s="22">
        <v>719539.45</v>
      </c>
      <c r="AB51" s="23"/>
      <c r="AC51" s="24"/>
      <c r="AD51" s="268">
        <v>215861</v>
      </c>
      <c r="AE51" s="269">
        <f>+AD51/AA51</f>
        <v>0.299998839535483</v>
      </c>
      <c r="AF51" s="270">
        <v>45834</v>
      </c>
      <c r="AG51" s="268"/>
      <c r="AH51" s="268">
        <f>+AD51</f>
        <v>215861</v>
      </c>
      <c r="AI51" s="268"/>
      <c r="AJ51" s="268"/>
      <c r="AK51" s="268"/>
      <c r="AL51" s="268"/>
      <c r="AM51" s="268"/>
      <c r="AN51" s="268">
        <f>+G51*10000-AA51-AO51</f>
        <v>30460.55</v>
      </c>
      <c r="AO51" s="271">
        <f>+K51*10000</f>
        <v>50000</v>
      </c>
      <c r="AP51" s="1">
        <f>+G51*10000-AA51</f>
        <v>80460.55</v>
      </c>
    </row>
    <row r="52" s="1" customFormat="1" ht="21" customHeight="1" spans="1:42">
      <c r="A52" s="27"/>
      <c r="B52" s="12"/>
      <c r="C52" s="12"/>
      <c r="D52" s="28"/>
      <c r="E52" s="14"/>
      <c r="F52" s="12"/>
      <c r="G52" s="29"/>
      <c r="H52" s="29"/>
      <c r="I52" s="29"/>
      <c r="J52" s="29"/>
      <c r="K52" s="29"/>
      <c r="L52" s="12"/>
      <c r="M52" s="12"/>
      <c r="N52" s="30"/>
      <c r="O52" s="17"/>
      <c r="P52" s="31"/>
      <c r="Q52" s="19"/>
      <c r="R52" s="20"/>
      <c r="S52" s="21"/>
      <c r="T52" s="27"/>
      <c r="U52" s="27"/>
      <c r="V52" s="27"/>
      <c r="W52" s="27"/>
      <c r="X52" s="33"/>
      <c r="Y52" s="33"/>
      <c r="Z52" s="32"/>
      <c r="AA52" s="32"/>
      <c r="AB52" s="33"/>
      <c r="AC52" s="24"/>
      <c r="AD52" s="272">
        <v>266230</v>
      </c>
      <c r="AE52" s="273">
        <f>+(+AD51+AD52)/AA51</f>
        <v>0.669999400310852</v>
      </c>
      <c r="AF52" s="274">
        <v>45834</v>
      </c>
      <c r="AG52" s="272"/>
      <c r="AH52" s="272">
        <f>+H51*10000-AH51</f>
        <v>234139</v>
      </c>
      <c r="AI52" s="272"/>
      <c r="AJ52" s="272">
        <f>+AD52-AH52</f>
        <v>32091</v>
      </c>
      <c r="AK52" s="272"/>
      <c r="AL52" s="275"/>
      <c r="AM52" s="275"/>
      <c r="AN52" s="275"/>
      <c r="AO52" s="276"/>
    </row>
    <row r="53" s="1" customFormat="1" ht="21" customHeight="1" spans="1:42">
      <c r="A53" s="27"/>
      <c r="B53" s="12"/>
      <c r="C53" s="12"/>
      <c r="D53" s="28"/>
      <c r="E53" s="14"/>
      <c r="F53" s="12"/>
      <c r="G53" s="29"/>
      <c r="H53" s="29"/>
      <c r="I53" s="29"/>
      <c r="J53" s="29"/>
      <c r="K53" s="29"/>
      <c r="L53" s="12"/>
      <c r="M53" s="12"/>
      <c r="N53" s="30"/>
      <c r="O53" s="17"/>
      <c r="P53" s="31"/>
      <c r="Q53" s="19"/>
      <c r="R53" s="20"/>
      <c r="S53" s="21"/>
      <c r="T53" s="27"/>
      <c r="U53" s="27"/>
      <c r="V53" s="27"/>
      <c r="W53" s="27"/>
      <c r="X53" s="33"/>
      <c r="Y53" s="33"/>
      <c r="Z53" s="32"/>
      <c r="AA53" s="32"/>
      <c r="AB53" s="33"/>
      <c r="AC53" s="24"/>
      <c r="AD53" s="277">
        <v>79149</v>
      </c>
      <c r="AE53" s="278">
        <f>+(AD53+AD52+AD51)/AA51</f>
        <v>0.779998928481267</v>
      </c>
      <c r="AF53" s="279">
        <v>45869</v>
      </c>
      <c r="AG53" s="277"/>
      <c r="AH53" s="277">
        <v>50000</v>
      </c>
      <c r="AI53" s="277">
        <v>29149</v>
      </c>
      <c r="AJ53" s="277">
        <f>29149-AI53</f>
        <v>0</v>
      </c>
      <c r="AK53" s="277">
        <f>50000-AH53</f>
        <v>0</v>
      </c>
      <c r="AL53" s="277"/>
      <c r="AM53" s="277"/>
      <c r="AN53" s="277">
        <f>-AI53</f>
        <v>-29149</v>
      </c>
      <c r="AO53" s="280">
        <f>-AH53</f>
        <v>-50000</v>
      </c>
    </row>
    <row r="54" s="1" customFormat="1" ht="21" customHeight="1" spans="1:42">
      <c r="A54" s="34"/>
      <c r="B54" s="12"/>
      <c r="C54" s="12"/>
      <c r="D54" s="35"/>
      <c r="E54" s="14"/>
      <c r="F54" s="12"/>
      <c r="G54" s="36"/>
      <c r="H54" s="36"/>
      <c r="I54" s="36"/>
      <c r="J54" s="36"/>
      <c r="K54" s="36"/>
      <c r="L54" s="12"/>
      <c r="M54" s="12"/>
      <c r="N54" s="30"/>
      <c r="O54" s="17"/>
      <c r="P54" s="31"/>
      <c r="Q54" s="19"/>
      <c r="R54" s="20"/>
      <c r="S54" s="21"/>
      <c r="T54" s="34"/>
      <c r="U54" s="34"/>
      <c r="V54" s="34"/>
      <c r="W54" s="34"/>
      <c r="X54" s="38"/>
      <c r="Y54" s="38"/>
      <c r="Z54" s="37"/>
      <c r="AA54" s="37"/>
      <c r="AB54" s="38"/>
      <c r="AC54" s="24"/>
      <c r="AD54" s="281"/>
      <c r="AE54" s="282"/>
      <c r="AF54" s="281"/>
      <c r="AG54" s="281"/>
      <c r="AH54" s="281"/>
      <c r="AI54" s="281"/>
      <c r="AJ54" s="281"/>
      <c r="AK54" s="281"/>
      <c r="AL54" s="281"/>
      <c r="AM54" s="281"/>
      <c r="AN54" s="281">
        <f>+AP51</f>
        <v>80460.55</v>
      </c>
      <c r="AO54" s="283"/>
    </row>
    <row r="55" s="1" customFormat="1" ht="21" customHeight="1" spans="1:42">
      <c r="A55" s="11">
        <v>13</v>
      </c>
      <c r="B55" s="12" t="s">
        <v>42</v>
      </c>
      <c r="C55" s="12" t="s">
        <v>43</v>
      </c>
      <c r="D55" s="13" t="s">
        <v>75</v>
      </c>
      <c r="E55" s="14" t="s">
        <v>45</v>
      </c>
      <c r="F55" s="12" t="s">
        <v>76</v>
      </c>
      <c r="G55" s="15">
        <v>80</v>
      </c>
      <c r="H55" s="15">
        <v>45</v>
      </c>
      <c r="I55" s="15"/>
      <c r="J55" s="15">
        <v>30</v>
      </c>
      <c r="K55" s="15">
        <v>5</v>
      </c>
      <c r="L55" s="12" t="s">
        <v>47</v>
      </c>
      <c r="M55" s="12" t="str">
        <f>F55</f>
        <v>榆林乡胡庄村</v>
      </c>
      <c r="N55" s="30" t="s">
        <v>72</v>
      </c>
      <c r="O55" s="17">
        <v>45809</v>
      </c>
      <c r="P55" s="31" t="s">
        <v>49</v>
      </c>
      <c r="Q55" s="19" t="s">
        <v>50</v>
      </c>
      <c r="R55" s="20" t="s">
        <v>51</v>
      </c>
      <c r="S55" s="21"/>
      <c r="T55" s="11">
        <f>+H55+AH57/10000</f>
        <v>50</v>
      </c>
      <c r="U55" s="11">
        <f>+I55+AI57/10000</f>
        <v>2.9149</v>
      </c>
      <c r="V55" s="11">
        <f>+J55-U55</f>
        <v>27.0851</v>
      </c>
      <c r="W55" s="11">
        <f>+K55-AH57/10000</f>
        <v>0</v>
      </c>
      <c r="X55" s="23">
        <v>743083.25</v>
      </c>
      <c r="Y55" s="23">
        <v>743083.25</v>
      </c>
      <c r="Z55" s="22">
        <v>719539.45</v>
      </c>
      <c r="AA55" s="22">
        <v>719539.45</v>
      </c>
      <c r="AB55" s="23"/>
      <c r="AC55" s="24"/>
      <c r="AD55" s="268">
        <v>215861</v>
      </c>
      <c r="AE55" s="269">
        <f>+AD55/AA55</f>
        <v>0.299998839535483</v>
      </c>
      <c r="AF55" s="270">
        <v>45834</v>
      </c>
      <c r="AG55" s="268"/>
      <c r="AH55" s="268">
        <f>+AD55</f>
        <v>215861</v>
      </c>
      <c r="AI55" s="268"/>
      <c r="AJ55" s="268"/>
      <c r="AK55" s="268"/>
      <c r="AL55" s="268"/>
      <c r="AM55" s="268"/>
      <c r="AN55" s="268">
        <f>+G55*10000-AA55-AO55</f>
        <v>30460.55</v>
      </c>
      <c r="AO55" s="271">
        <f>+K55*10000</f>
        <v>50000</v>
      </c>
      <c r="AP55" s="1">
        <f>+G55*10000-AA55</f>
        <v>80460.55</v>
      </c>
    </row>
    <row r="56" s="1" customFormat="1" ht="21" customHeight="1" spans="1:42">
      <c r="A56" s="27"/>
      <c r="B56" s="12"/>
      <c r="C56" s="12"/>
      <c r="D56" s="28"/>
      <c r="E56" s="14"/>
      <c r="F56" s="12"/>
      <c r="G56" s="29"/>
      <c r="H56" s="29"/>
      <c r="I56" s="29"/>
      <c r="J56" s="29"/>
      <c r="K56" s="29"/>
      <c r="L56" s="12"/>
      <c r="M56" s="12"/>
      <c r="N56" s="30"/>
      <c r="O56" s="17"/>
      <c r="P56" s="31"/>
      <c r="Q56" s="19"/>
      <c r="R56" s="20"/>
      <c r="S56" s="21"/>
      <c r="T56" s="27"/>
      <c r="U56" s="27"/>
      <c r="V56" s="27"/>
      <c r="W56" s="27"/>
      <c r="X56" s="33"/>
      <c r="Y56" s="33"/>
      <c r="Z56" s="32"/>
      <c r="AA56" s="32"/>
      <c r="AB56" s="33"/>
      <c r="AC56" s="24"/>
      <c r="AD56" s="272">
        <v>266230</v>
      </c>
      <c r="AE56" s="273">
        <f>+(+AD55+AD56)/AA55</f>
        <v>0.669999400310852</v>
      </c>
      <c r="AF56" s="274">
        <v>45834</v>
      </c>
      <c r="AG56" s="272"/>
      <c r="AH56" s="272">
        <f>+H55*10000-AH55</f>
        <v>234139</v>
      </c>
      <c r="AI56" s="272"/>
      <c r="AJ56" s="272">
        <f>+AD56-AH56</f>
        <v>32091</v>
      </c>
      <c r="AK56" s="272"/>
      <c r="AL56" s="275"/>
      <c r="AM56" s="275"/>
      <c r="AN56" s="275"/>
      <c r="AO56" s="276"/>
    </row>
    <row r="57" s="1" customFormat="1" ht="21" customHeight="1" spans="1:42">
      <c r="A57" s="27"/>
      <c r="B57" s="12"/>
      <c r="C57" s="12"/>
      <c r="D57" s="28"/>
      <c r="E57" s="14"/>
      <c r="F57" s="12"/>
      <c r="G57" s="29"/>
      <c r="H57" s="29"/>
      <c r="I57" s="29"/>
      <c r="J57" s="29"/>
      <c r="K57" s="29"/>
      <c r="L57" s="12"/>
      <c r="M57" s="12"/>
      <c r="N57" s="30"/>
      <c r="O57" s="17"/>
      <c r="P57" s="31"/>
      <c r="Q57" s="19"/>
      <c r="R57" s="20"/>
      <c r="S57" s="21"/>
      <c r="T57" s="27"/>
      <c r="U57" s="27"/>
      <c r="V57" s="27"/>
      <c r="W57" s="27"/>
      <c r="X57" s="33"/>
      <c r="Y57" s="33"/>
      <c r="Z57" s="32"/>
      <c r="AA57" s="32"/>
      <c r="AB57" s="33"/>
      <c r="AC57" s="24"/>
      <c r="AD57" s="277">
        <v>79149</v>
      </c>
      <c r="AE57" s="278">
        <f>+(AD57+AD56+AD55)/AA55</f>
        <v>0.779998928481267</v>
      </c>
      <c r="AF57" s="279">
        <v>45869</v>
      </c>
      <c r="AG57" s="277"/>
      <c r="AH57" s="277">
        <v>50000</v>
      </c>
      <c r="AI57" s="277">
        <v>29149</v>
      </c>
      <c r="AJ57" s="277">
        <f>29149-AI57</f>
        <v>0</v>
      </c>
      <c r="AK57" s="277">
        <f>50000-AH57</f>
        <v>0</v>
      </c>
      <c r="AL57" s="277"/>
      <c r="AM57" s="277"/>
      <c r="AN57" s="277">
        <f>-AI57</f>
        <v>-29149</v>
      </c>
      <c r="AO57" s="280">
        <f>-AH57</f>
        <v>-50000</v>
      </c>
    </row>
    <row r="58" s="1" customFormat="1" ht="21" customHeight="1" spans="1:42">
      <c r="A58" s="34"/>
      <c r="B58" s="12"/>
      <c r="C58" s="12"/>
      <c r="D58" s="35"/>
      <c r="E58" s="14"/>
      <c r="F58" s="12"/>
      <c r="G58" s="36"/>
      <c r="H58" s="36"/>
      <c r="I58" s="36"/>
      <c r="J58" s="36"/>
      <c r="K58" s="36"/>
      <c r="L58" s="12"/>
      <c r="M58" s="12"/>
      <c r="N58" s="30"/>
      <c r="O58" s="17"/>
      <c r="P58" s="31"/>
      <c r="Q58" s="19"/>
      <c r="R58" s="20"/>
      <c r="S58" s="21"/>
      <c r="T58" s="34"/>
      <c r="U58" s="34"/>
      <c r="V58" s="34"/>
      <c r="W58" s="34"/>
      <c r="X58" s="38"/>
      <c r="Y58" s="38"/>
      <c r="Z58" s="37"/>
      <c r="AA58" s="37"/>
      <c r="AB58" s="38"/>
      <c r="AC58" s="24"/>
      <c r="AD58" s="281"/>
      <c r="AE58" s="282"/>
      <c r="AF58" s="281"/>
      <c r="AG58" s="281"/>
      <c r="AH58" s="281"/>
      <c r="AI58" s="281"/>
      <c r="AJ58" s="281"/>
      <c r="AK58" s="281"/>
      <c r="AL58" s="281"/>
      <c r="AM58" s="281"/>
      <c r="AN58" s="281">
        <f>+AP55</f>
        <v>80460.55</v>
      </c>
      <c r="AO58" s="283"/>
    </row>
    <row r="59" s="1" customFormat="1" ht="21" customHeight="1" spans="1:42">
      <c r="A59" s="11">
        <v>14</v>
      </c>
      <c r="B59" s="12" t="s">
        <v>42</v>
      </c>
      <c r="C59" s="12" t="s">
        <v>43</v>
      </c>
      <c r="D59" s="13" t="s">
        <v>77</v>
      </c>
      <c r="E59" s="14" t="s">
        <v>45</v>
      </c>
      <c r="F59" s="12" t="s">
        <v>78</v>
      </c>
      <c r="G59" s="15">
        <v>80</v>
      </c>
      <c r="H59" s="15">
        <v>45</v>
      </c>
      <c r="I59" s="15"/>
      <c r="J59" s="15">
        <v>30</v>
      </c>
      <c r="K59" s="15">
        <v>5</v>
      </c>
      <c r="L59" s="12" t="s">
        <v>47</v>
      </c>
      <c r="M59" s="12" t="str">
        <f>F59</f>
        <v>榆林乡白庙黄村</v>
      </c>
      <c r="N59" s="30" t="s">
        <v>72</v>
      </c>
      <c r="O59" s="17">
        <v>45809</v>
      </c>
      <c r="P59" s="31" t="s">
        <v>49</v>
      </c>
      <c r="Q59" s="19" t="s">
        <v>50</v>
      </c>
      <c r="R59" s="20" t="s">
        <v>51</v>
      </c>
      <c r="S59" s="21"/>
      <c r="T59" s="11">
        <f>+H59+AH61/10000</f>
        <v>50</v>
      </c>
      <c r="U59" s="11">
        <f>+I59+AI61/10000</f>
        <v>2.9616</v>
      </c>
      <c r="V59" s="11">
        <f>+J59-U59</f>
        <v>27.0384</v>
      </c>
      <c r="W59" s="11">
        <f>+K59-AH61/10000</f>
        <v>0</v>
      </c>
      <c r="X59" s="23">
        <v>743770.34</v>
      </c>
      <c r="Y59" s="23">
        <v>743770.34</v>
      </c>
      <c r="Z59" s="22">
        <v>723779.93</v>
      </c>
      <c r="AA59" s="22">
        <v>723779.93</v>
      </c>
      <c r="AB59" s="23"/>
      <c r="AC59" s="24"/>
      <c r="AD59" s="268">
        <v>217133</v>
      </c>
      <c r="AE59" s="269">
        <f>+AD59/AA59</f>
        <v>0.299998647378907</v>
      </c>
      <c r="AF59" s="270">
        <v>45834</v>
      </c>
      <c r="AG59" s="268"/>
      <c r="AH59" s="268">
        <f>+AD59</f>
        <v>217133</v>
      </c>
      <c r="AI59" s="268"/>
      <c r="AJ59" s="268"/>
      <c r="AK59" s="268"/>
      <c r="AL59" s="268"/>
      <c r="AM59" s="268"/>
      <c r="AN59" s="268">
        <f>+G59*10000-AA59-AO59</f>
        <v>26220.0699999999</v>
      </c>
      <c r="AO59" s="271">
        <f>+K59*10000</f>
        <v>50000</v>
      </c>
      <c r="AP59" s="1">
        <f>+G59*10000-AA59</f>
        <v>76220.0699999999</v>
      </c>
    </row>
    <row r="60" s="1" customFormat="1" ht="21" customHeight="1" spans="1:42">
      <c r="A60" s="27"/>
      <c r="B60" s="12"/>
      <c r="C60" s="12"/>
      <c r="D60" s="28"/>
      <c r="E60" s="14"/>
      <c r="F60" s="12"/>
      <c r="G60" s="29"/>
      <c r="H60" s="29"/>
      <c r="I60" s="29"/>
      <c r="J60" s="29"/>
      <c r="K60" s="29"/>
      <c r="L60" s="12"/>
      <c r="M60" s="12"/>
      <c r="N60" s="30"/>
      <c r="O60" s="17"/>
      <c r="P60" s="31"/>
      <c r="Q60" s="19"/>
      <c r="R60" s="20"/>
      <c r="S60" s="21"/>
      <c r="T60" s="27"/>
      <c r="U60" s="27"/>
      <c r="V60" s="27"/>
      <c r="W60" s="27"/>
      <c r="X60" s="33"/>
      <c r="Y60" s="33"/>
      <c r="Z60" s="32"/>
      <c r="AA60" s="32"/>
      <c r="AB60" s="33"/>
      <c r="AC60" s="24"/>
      <c r="AD60" s="272">
        <v>267799</v>
      </c>
      <c r="AE60" s="273">
        <f>+(+AD59+AD60)/AA59</f>
        <v>0.66999923581744</v>
      </c>
      <c r="AF60" s="274">
        <v>45834</v>
      </c>
      <c r="AG60" s="272"/>
      <c r="AH60" s="272">
        <f>+H59*10000-AH59</f>
        <v>232867</v>
      </c>
      <c r="AI60" s="272"/>
      <c r="AJ60" s="272">
        <f>+AD60-AH60</f>
        <v>34932</v>
      </c>
      <c r="AK60" s="272"/>
      <c r="AL60" s="275"/>
      <c r="AM60" s="275"/>
      <c r="AN60" s="275"/>
      <c r="AO60" s="276"/>
    </row>
    <row r="61" s="1" customFormat="1" ht="21" customHeight="1" spans="1:42">
      <c r="A61" s="27"/>
      <c r="B61" s="12"/>
      <c r="C61" s="12"/>
      <c r="D61" s="28"/>
      <c r="E61" s="14"/>
      <c r="F61" s="12"/>
      <c r="G61" s="29"/>
      <c r="H61" s="29"/>
      <c r="I61" s="29"/>
      <c r="J61" s="29"/>
      <c r="K61" s="29"/>
      <c r="L61" s="12"/>
      <c r="M61" s="12"/>
      <c r="N61" s="30"/>
      <c r="O61" s="17"/>
      <c r="P61" s="31"/>
      <c r="Q61" s="19"/>
      <c r="R61" s="20"/>
      <c r="S61" s="21"/>
      <c r="T61" s="27"/>
      <c r="U61" s="27"/>
      <c r="V61" s="27"/>
      <c r="W61" s="27"/>
      <c r="X61" s="33"/>
      <c r="Y61" s="33"/>
      <c r="Z61" s="32"/>
      <c r="AA61" s="32"/>
      <c r="AB61" s="33"/>
      <c r="AC61" s="24"/>
      <c r="AD61" s="277">
        <v>79616</v>
      </c>
      <c r="AE61" s="278">
        <f>+(AD61+AD60+AD59)/AA59</f>
        <v>0.77999952278312</v>
      </c>
      <c r="AF61" s="279">
        <v>45869</v>
      </c>
      <c r="AG61" s="277"/>
      <c r="AH61" s="277">
        <v>50000</v>
      </c>
      <c r="AI61" s="277">
        <v>29616</v>
      </c>
      <c r="AJ61" s="277">
        <f>29616-AI61</f>
        <v>0</v>
      </c>
      <c r="AK61" s="277">
        <f>50000-AH61</f>
        <v>0</v>
      </c>
      <c r="AL61" s="277"/>
      <c r="AM61" s="277"/>
      <c r="AN61" s="277">
        <f>-AI61</f>
        <v>-29616</v>
      </c>
      <c r="AO61" s="280">
        <f>-AH61</f>
        <v>-50000</v>
      </c>
    </row>
    <row r="62" s="1" customFormat="1" ht="21" customHeight="1" spans="1:42">
      <c r="A62" s="34"/>
      <c r="B62" s="12"/>
      <c r="C62" s="12"/>
      <c r="D62" s="35"/>
      <c r="E62" s="14"/>
      <c r="F62" s="12"/>
      <c r="G62" s="36"/>
      <c r="H62" s="36"/>
      <c r="I62" s="36"/>
      <c r="J62" s="36"/>
      <c r="K62" s="36"/>
      <c r="L62" s="12"/>
      <c r="M62" s="12"/>
      <c r="N62" s="30"/>
      <c r="O62" s="17"/>
      <c r="P62" s="31"/>
      <c r="Q62" s="19"/>
      <c r="R62" s="20"/>
      <c r="S62" s="21"/>
      <c r="T62" s="34"/>
      <c r="U62" s="34"/>
      <c r="V62" s="34"/>
      <c r="W62" s="34"/>
      <c r="X62" s="38"/>
      <c r="Y62" s="38"/>
      <c r="Z62" s="37"/>
      <c r="AA62" s="37"/>
      <c r="AB62" s="38"/>
      <c r="AC62" s="24"/>
      <c r="AD62" s="281"/>
      <c r="AE62" s="282"/>
      <c r="AF62" s="281"/>
      <c r="AG62" s="281"/>
      <c r="AH62" s="281"/>
      <c r="AI62" s="281"/>
      <c r="AJ62" s="281"/>
      <c r="AK62" s="281"/>
      <c r="AL62" s="281"/>
      <c r="AM62" s="281"/>
      <c r="AN62" s="281">
        <f>+AP59</f>
        <v>76220.0699999999</v>
      </c>
      <c r="AO62" s="283"/>
    </row>
    <row r="63" s="1" customFormat="1" ht="21" customHeight="1" spans="1:42">
      <c r="A63" s="11">
        <v>15</v>
      </c>
      <c r="B63" s="12" t="s">
        <v>42</v>
      </c>
      <c r="C63" s="12" t="s">
        <v>43</v>
      </c>
      <c r="D63" s="13" t="s">
        <v>79</v>
      </c>
      <c r="E63" s="14" t="s">
        <v>45</v>
      </c>
      <c r="F63" s="12" t="s">
        <v>80</v>
      </c>
      <c r="G63" s="15">
        <v>80</v>
      </c>
      <c r="H63" s="15">
        <v>45</v>
      </c>
      <c r="I63" s="15"/>
      <c r="J63" s="15">
        <v>30</v>
      </c>
      <c r="K63" s="15">
        <v>5</v>
      </c>
      <c r="L63" s="12" t="s">
        <v>47</v>
      </c>
      <c r="M63" s="12" t="str">
        <f>F63</f>
        <v>榆林乡姜庄村</v>
      </c>
      <c r="N63" s="30" t="s">
        <v>72</v>
      </c>
      <c r="O63" s="17">
        <v>45809</v>
      </c>
      <c r="P63" s="31" t="s">
        <v>49</v>
      </c>
      <c r="Q63" s="19" t="s">
        <v>50</v>
      </c>
      <c r="R63" s="20" t="s">
        <v>51</v>
      </c>
      <c r="S63" s="21"/>
      <c r="T63" s="11">
        <f>+H63+AH65/10000</f>
        <v>50</v>
      </c>
      <c r="U63" s="11">
        <f>+I63+AI65/10000</f>
        <v>2.9149</v>
      </c>
      <c r="V63" s="11">
        <f>+J63-U63</f>
        <v>27.0851</v>
      </c>
      <c r="W63" s="11">
        <f>+K63-AH65/10000</f>
        <v>0</v>
      </c>
      <c r="X63" s="23">
        <v>743083.25</v>
      </c>
      <c r="Y63" s="23">
        <v>743083.25</v>
      </c>
      <c r="Z63" s="22">
        <v>719539.45</v>
      </c>
      <c r="AA63" s="22">
        <v>719539.45</v>
      </c>
      <c r="AB63" s="23"/>
      <c r="AC63" s="24"/>
      <c r="AD63" s="268">
        <v>215861</v>
      </c>
      <c r="AE63" s="269">
        <f>+AD63/AA63</f>
        <v>0.299998839535483</v>
      </c>
      <c r="AF63" s="270">
        <v>45834</v>
      </c>
      <c r="AG63" s="268"/>
      <c r="AH63" s="268">
        <f>+AD63</f>
        <v>215861</v>
      </c>
      <c r="AI63" s="268"/>
      <c r="AJ63" s="268"/>
      <c r="AK63" s="268"/>
      <c r="AL63" s="268"/>
      <c r="AM63" s="268"/>
      <c r="AN63" s="268">
        <f>+G63*10000-AA63-AO63</f>
        <v>30460.55</v>
      </c>
      <c r="AO63" s="271">
        <f>+K63*10000</f>
        <v>50000</v>
      </c>
      <c r="AP63" s="1">
        <f>+G63*10000-AA63</f>
        <v>80460.55</v>
      </c>
    </row>
    <row r="64" s="1" customFormat="1" ht="21" customHeight="1" spans="1:42">
      <c r="A64" s="27"/>
      <c r="B64" s="12"/>
      <c r="C64" s="12"/>
      <c r="D64" s="28"/>
      <c r="E64" s="14"/>
      <c r="F64" s="12"/>
      <c r="G64" s="29"/>
      <c r="H64" s="29"/>
      <c r="I64" s="29"/>
      <c r="J64" s="29"/>
      <c r="K64" s="29"/>
      <c r="L64" s="12"/>
      <c r="M64" s="12"/>
      <c r="N64" s="30"/>
      <c r="O64" s="17"/>
      <c r="P64" s="31"/>
      <c r="Q64" s="19"/>
      <c r="R64" s="20"/>
      <c r="S64" s="21"/>
      <c r="T64" s="27"/>
      <c r="U64" s="27"/>
      <c r="V64" s="27"/>
      <c r="W64" s="27"/>
      <c r="X64" s="33"/>
      <c r="Y64" s="33"/>
      <c r="Z64" s="32"/>
      <c r="AA64" s="32"/>
      <c r="AB64" s="33"/>
      <c r="AC64" s="24"/>
      <c r="AD64" s="272">
        <v>266230</v>
      </c>
      <c r="AE64" s="273">
        <f>+(+AD63+AD64)/AA63</f>
        <v>0.669999400310852</v>
      </c>
      <c r="AF64" s="274">
        <v>45834</v>
      </c>
      <c r="AG64" s="272"/>
      <c r="AH64" s="272">
        <f>+H63*10000-AH63</f>
        <v>234139</v>
      </c>
      <c r="AI64" s="272"/>
      <c r="AJ64" s="272">
        <f>+AD64-AH64</f>
        <v>32091</v>
      </c>
      <c r="AK64" s="272"/>
      <c r="AL64" s="275"/>
      <c r="AM64" s="275"/>
      <c r="AN64" s="275"/>
      <c r="AO64" s="276"/>
    </row>
    <row r="65" s="1" customFormat="1" ht="21" customHeight="1" spans="1:42">
      <c r="A65" s="27"/>
      <c r="B65" s="12"/>
      <c r="C65" s="12"/>
      <c r="D65" s="28"/>
      <c r="E65" s="14"/>
      <c r="F65" s="12"/>
      <c r="G65" s="29"/>
      <c r="H65" s="29"/>
      <c r="I65" s="29"/>
      <c r="J65" s="29"/>
      <c r="K65" s="29"/>
      <c r="L65" s="12"/>
      <c r="M65" s="12"/>
      <c r="N65" s="30"/>
      <c r="O65" s="17"/>
      <c r="P65" s="31"/>
      <c r="Q65" s="19"/>
      <c r="R65" s="20"/>
      <c r="S65" s="21"/>
      <c r="T65" s="27"/>
      <c r="U65" s="27"/>
      <c r="V65" s="27"/>
      <c r="W65" s="27"/>
      <c r="X65" s="33"/>
      <c r="Y65" s="33"/>
      <c r="Z65" s="32"/>
      <c r="AA65" s="32"/>
      <c r="AB65" s="33"/>
      <c r="AC65" s="24"/>
      <c r="AD65" s="277">
        <v>79149</v>
      </c>
      <c r="AE65" s="278">
        <f>+(AD65+AD64+AD63)/AA63</f>
        <v>0.779998928481267</v>
      </c>
      <c r="AF65" s="279">
        <v>45869</v>
      </c>
      <c r="AG65" s="277"/>
      <c r="AH65" s="277">
        <v>50000</v>
      </c>
      <c r="AI65" s="277">
        <v>29149</v>
      </c>
      <c r="AJ65" s="277">
        <f>29149-AI65</f>
        <v>0</v>
      </c>
      <c r="AK65" s="277">
        <f>50000-AH65</f>
        <v>0</v>
      </c>
      <c r="AL65" s="277"/>
      <c r="AM65" s="277"/>
      <c r="AN65" s="277">
        <f>-AI65</f>
        <v>-29149</v>
      </c>
      <c r="AO65" s="280">
        <f>-AH65</f>
        <v>-50000</v>
      </c>
    </row>
    <row r="66" s="1" customFormat="1" ht="21" customHeight="1" spans="1:42">
      <c r="A66" s="34"/>
      <c r="B66" s="12"/>
      <c r="C66" s="12"/>
      <c r="D66" s="35"/>
      <c r="E66" s="14"/>
      <c r="F66" s="12"/>
      <c r="G66" s="36"/>
      <c r="H66" s="36"/>
      <c r="I66" s="36"/>
      <c r="J66" s="36"/>
      <c r="K66" s="36"/>
      <c r="L66" s="12"/>
      <c r="M66" s="12"/>
      <c r="N66" s="30"/>
      <c r="O66" s="17"/>
      <c r="P66" s="31"/>
      <c r="Q66" s="19"/>
      <c r="R66" s="20"/>
      <c r="S66" s="21"/>
      <c r="T66" s="34"/>
      <c r="U66" s="34"/>
      <c r="V66" s="34"/>
      <c r="W66" s="34"/>
      <c r="X66" s="38"/>
      <c r="Y66" s="38"/>
      <c r="Z66" s="37"/>
      <c r="AA66" s="37"/>
      <c r="AB66" s="38"/>
      <c r="AC66" s="24"/>
      <c r="AD66" s="281"/>
      <c r="AE66" s="282"/>
      <c r="AF66" s="281"/>
      <c r="AG66" s="281"/>
      <c r="AH66" s="281"/>
      <c r="AI66" s="281"/>
      <c r="AJ66" s="281"/>
      <c r="AK66" s="281"/>
      <c r="AL66" s="281"/>
      <c r="AM66" s="281"/>
      <c r="AN66" s="281">
        <f>+AP63</f>
        <v>80460.55</v>
      </c>
      <c r="AO66" s="283"/>
    </row>
    <row r="67" s="1" customFormat="1" ht="21" customHeight="1" spans="1:42">
      <c r="A67" s="11">
        <v>16</v>
      </c>
      <c r="B67" s="12" t="s">
        <v>42</v>
      </c>
      <c r="C67" s="12" t="s">
        <v>43</v>
      </c>
      <c r="D67" s="13" t="s">
        <v>81</v>
      </c>
      <c r="E67" s="14" t="s">
        <v>45</v>
      </c>
      <c r="F67" s="12" t="s">
        <v>82</v>
      </c>
      <c r="G67" s="15">
        <v>80</v>
      </c>
      <c r="H67" s="15">
        <v>45</v>
      </c>
      <c r="I67" s="15"/>
      <c r="J67" s="15">
        <v>30</v>
      </c>
      <c r="K67" s="15">
        <v>5</v>
      </c>
      <c r="L67" s="12" t="s">
        <v>47</v>
      </c>
      <c r="M67" s="12" t="str">
        <f>F67</f>
        <v>榆林乡小宋村</v>
      </c>
      <c r="N67" s="30" t="s">
        <v>72</v>
      </c>
      <c r="O67" s="17">
        <v>45809</v>
      </c>
      <c r="P67" s="31" t="s">
        <v>49</v>
      </c>
      <c r="Q67" s="19" t="s">
        <v>50</v>
      </c>
      <c r="R67" s="20" t="s">
        <v>51</v>
      </c>
      <c r="S67" s="21"/>
      <c r="T67" s="11">
        <f>+H67+AH69/10000</f>
        <v>50</v>
      </c>
      <c r="U67" s="11">
        <f>+I67+AI69/10000</f>
        <v>2.9149</v>
      </c>
      <c r="V67" s="11">
        <f>+J67-U67</f>
        <v>27.0851</v>
      </c>
      <c r="W67" s="11">
        <f>+K67-AH69/10000</f>
        <v>0</v>
      </c>
      <c r="X67" s="23">
        <v>743083.25</v>
      </c>
      <c r="Y67" s="23">
        <v>743083.25</v>
      </c>
      <c r="Z67" s="22">
        <v>719539.45</v>
      </c>
      <c r="AA67" s="22">
        <v>719539.45</v>
      </c>
      <c r="AB67" s="23"/>
      <c r="AC67" s="24"/>
      <c r="AD67" s="268">
        <v>215861</v>
      </c>
      <c r="AE67" s="269">
        <f>+AD67/AA67</f>
        <v>0.299998839535483</v>
      </c>
      <c r="AF67" s="270">
        <v>45834</v>
      </c>
      <c r="AG67" s="268"/>
      <c r="AH67" s="268">
        <f>+AD67</f>
        <v>215861</v>
      </c>
      <c r="AI67" s="268"/>
      <c r="AJ67" s="268"/>
      <c r="AK67" s="268"/>
      <c r="AL67" s="268"/>
      <c r="AM67" s="268"/>
      <c r="AN67" s="268">
        <f>+G67*10000-AA67-AO67</f>
        <v>30460.55</v>
      </c>
      <c r="AO67" s="271">
        <f>+K67*10000</f>
        <v>50000</v>
      </c>
      <c r="AP67" s="1">
        <f>+G67*10000-AA67</f>
        <v>80460.55</v>
      </c>
    </row>
    <row r="68" s="1" customFormat="1" ht="21" customHeight="1" spans="1:42">
      <c r="A68" s="27"/>
      <c r="B68" s="12"/>
      <c r="C68" s="12"/>
      <c r="D68" s="28"/>
      <c r="E68" s="14"/>
      <c r="F68" s="12"/>
      <c r="G68" s="29"/>
      <c r="H68" s="29"/>
      <c r="I68" s="29"/>
      <c r="J68" s="29"/>
      <c r="K68" s="29"/>
      <c r="L68" s="12"/>
      <c r="M68" s="12"/>
      <c r="N68" s="30"/>
      <c r="O68" s="17"/>
      <c r="P68" s="31"/>
      <c r="Q68" s="19"/>
      <c r="R68" s="20"/>
      <c r="S68" s="21"/>
      <c r="T68" s="27"/>
      <c r="U68" s="27"/>
      <c r="V68" s="27"/>
      <c r="W68" s="27"/>
      <c r="X68" s="33"/>
      <c r="Y68" s="33"/>
      <c r="Z68" s="32"/>
      <c r="AA68" s="32"/>
      <c r="AB68" s="33"/>
      <c r="AC68" s="24"/>
      <c r="AD68" s="272">
        <v>266230</v>
      </c>
      <c r="AE68" s="273">
        <f>+(+AD67+AD68)/AA67</f>
        <v>0.669999400310852</v>
      </c>
      <c r="AF68" s="274">
        <v>45834</v>
      </c>
      <c r="AG68" s="272"/>
      <c r="AH68" s="272">
        <f>+H67*10000-AH67</f>
        <v>234139</v>
      </c>
      <c r="AI68" s="272"/>
      <c r="AJ68" s="272">
        <f>+AD68-AH68</f>
        <v>32091</v>
      </c>
      <c r="AK68" s="272"/>
      <c r="AL68" s="275"/>
      <c r="AM68" s="275"/>
      <c r="AN68" s="275"/>
      <c r="AO68" s="276"/>
    </row>
    <row r="69" s="1" customFormat="1" ht="21" customHeight="1" spans="1:42">
      <c r="A69" s="27"/>
      <c r="B69" s="12"/>
      <c r="C69" s="12"/>
      <c r="D69" s="28"/>
      <c r="E69" s="14"/>
      <c r="F69" s="12"/>
      <c r="G69" s="29"/>
      <c r="H69" s="29"/>
      <c r="I69" s="29"/>
      <c r="J69" s="29"/>
      <c r="K69" s="29"/>
      <c r="L69" s="12"/>
      <c r="M69" s="12"/>
      <c r="N69" s="30"/>
      <c r="O69" s="17"/>
      <c r="P69" s="31"/>
      <c r="Q69" s="19"/>
      <c r="R69" s="20"/>
      <c r="S69" s="21"/>
      <c r="T69" s="27"/>
      <c r="U69" s="27"/>
      <c r="V69" s="27"/>
      <c r="W69" s="27"/>
      <c r="X69" s="33"/>
      <c r="Y69" s="33"/>
      <c r="Z69" s="32"/>
      <c r="AA69" s="32"/>
      <c r="AB69" s="33"/>
      <c r="AC69" s="24"/>
      <c r="AD69" s="277">
        <v>79149</v>
      </c>
      <c r="AE69" s="278">
        <f>+(AD69+AD68+AD67)/AA67</f>
        <v>0.779998928481267</v>
      </c>
      <c r="AF69" s="279">
        <v>45869</v>
      </c>
      <c r="AG69" s="277"/>
      <c r="AH69" s="277">
        <v>50000</v>
      </c>
      <c r="AI69" s="277">
        <v>29149</v>
      </c>
      <c r="AJ69" s="277">
        <f>29149-AI69</f>
        <v>0</v>
      </c>
      <c r="AK69" s="277">
        <f>50000-AH69</f>
        <v>0</v>
      </c>
      <c r="AL69" s="277"/>
      <c r="AM69" s="277"/>
      <c r="AN69" s="277">
        <f>-AI69</f>
        <v>-29149</v>
      </c>
      <c r="AO69" s="280">
        <f>-AH69</f>
        <v>-50000</v>
      </c>
    </row>
    <row r="70" s="1" customFormat="1" ht="21" customHeight="1" spans="1:42">
      <c r="A70" s="34"/>
      <c r="B70" s="12"/>
      <c r="C70" s="12"/>
      <c r="D70" s="35"/>
      <c r="E70" s="14"/>
      <c r="F70" s="12"/>
      <c r="G70" s="36"/>
      <c r="H70" s="36"/>
      <c r="I70" s="36"/>
      <c r="J70" s="36"/>
      <c r="K70" s="36"/>
      <c r="L70" s="12"/>
      <c r="M70" s="12"/>
      <c r="N70" s="30"/>
      <c r="O70" s="17"/>
      <c r="P70" s="31"/>
      <c r="Q70" s="19"/>
      <c r="R70" s="20"/>
      <c r="S70" s="21"/>
      <c r="T70" s="34"/>
      <c r="U70" s="34"/>
      <c r="V70" s="34"/>
      <c r="W70" s="34"/>
      <c r="X70" s="38"/>
      <c r="Y70" s="38"/>
      <c r="Z70" s="37"/>
      <c r="AA70" s="37"/>
      <c r="AB70" s="38"/>
      <c r="AC70" s="24"/>
      <c r="AD70" s="281"/>
      <c r="AE70" s="282"/>
      <c r="AF70" s="281"/>
      <c r="AG70" s="281"/>
      <c r="AH70" s="281"/>
      <c r="AI70" s="281"/>
      <c r="AJ70" s="281"/>
      <c r="AK70" s="281"/>
      <c r="AL70" s="281"/>
      <c r="AM70" s="281"/>
      <c r="AN70" s="281">
        <f>+AP67</f>
        <v>80460.55</v>
      </c>
      <c r="AO70" s="283"/>
    </row>
    <row r="71" s="1" customFormat="1" ht="21" customHeight="1" spans="1:42">
      <c r="A71" s="11">
        <v>17</v>
      </c>
      <c r="B71" s="12" t="s">
        <v>42</v>
      </c>
      <c r="C71" s="12" t="s">
        <v>43</v>
      </c>
      <c r="D71" s="13" t="s">
        <v>83</v>
      </c>
      <c r="E71" s="14" t="s">
        <v>45</v>
      </c>
      <c r="F71" s="12" t="s">
        <v>84</v>
      </c>
      <c r="G71" s="15">
        <v>80</v>
      </c>
      <c r="H71" s="15">
        <v>45</v>
      </c>
      <c r="I71" s="15"/>
      <c r="J71" s="15">
        <v>30</v>
      </c>
      <c r="K71" s="15">
        <v>5</v>
      </c>
      <c r="L71" s="12" t="s">
        <v>47</v>
      </c>
      <c r="M71" s="12" t="str">
        <f>F71</f>
        <v>榆林乡柏庄村</v>
      </c>
      <c r="N71" s="30" t="s">
        <v>72</v>
      </c>
      <c r="O71" s="17">
        <v>45809</v>
      </c>
      <c r="P71" s="31" t="s">
        <v>49</v>
      </c>
      <c r="Q71" s="19" t="s">
        <v>50</v>
      </c>
      <c r="R71" s="20" t="s">
        <v>51</v>
      </c>
      <c r="S71" s="21"/>
      <c r="T71" s="11">
        <f>+H71+AH73/10000</f>
        <v>50</v>
      </c>
      <c r="U71" s="11">
        <f>+I71+AI73/10000</f>
        <v>2.9149</v>
      </c>
      <c r="V71" s="11">
        <f>+J71-U71</f>
        <v>27.0851</v>
      </c>
      <c r="W71" s="11">
        <f>+K71-AH73/10000</f>
        <v>0</v>
      </c>
      <c r="X71" s="23">
        <v>743083.25</v>
      </c>
      <c r="Y71" s="23">
        <v>743083.25</v>
      </c>
      <c r="Z71" s="22">
        <v>719539.45</v>
      </c>
      <c r="AA71" s="22">
        <v>719539.45</v>
      </c>
      <c r="AB71" s="23"/>
      <c r="AC71" s="24"/>
      <c r="AD71" s="268">
        <v>215861</v>
      </c>
      <c r="AE71" s="269">
        <f>+AD71/AA71</f>
        <v>0.299998839535483</v>
      </c>
      <c r="AF71" s="270">
        <v>45834</v>
      </c>
      <c r="AG71" s="268"/>
      <c r="AH71" s="268">
        <f>+AD71</f>
        <v>215861</v>
      </c>
      <c r="AI71" s="268"/>
      <c r="AJ71" s="268"/>
      <c r="AK71" s="268"/>
      <c r="AL71" s="268"/>
      <c r="AM71" s="268"/>
      <c r="AN71" s="268">
        <f>+G71*10000-AA71-AO71</f>
        <v>30460.55</v>
      </c>
      <c r="AO71" s="271">
        <f>+K71*10000</f>
        <v>50000</v>
      </c>
      <c r="AP71" s="1">
        <f>+G71*10000-AA71</f>
        <v>80460.55</v>
      </c>
    </row>
    <row r="72" s="1" customFormat="1" ht="21" customHeight="1" spans="1:42">
      <c r="A72" s="27"/>
      <c r="B72" s="12"/>
      <c r="C72" s="12"/>
      <c r="D72" s="28"/>
      <c r="E72" s="14"/>
      <c r="F72" s="12"/>
      <c r="G72" s="29"/>
      <c r="H72" s="29"/>
      <c r="I72" s="29"/>
      <c r="J72" s="29"/>
      <c r="K72" s="29"/>
      <c r="L72" s="12"/>
      <c r="M72" s="12"/>
      <c r="N72" s="30"/>
      <c r="O72" s="17"/>
      <c r="P72" s="31"/>
      <c r="Q72" s="19"/>
      <c r="R72" s="20"/>
      <c r="S72" s="21"/>
      <c r="T72" s="27"/>
      <c r="U72" s="27"/>
      <c r="V72" s="27"/>
      <c r="W72" s="27"/>
      <c r="X72" s="33"/>
      <c r="Y72" s="33"/>
      <c r="Z72" s="32"/>
      <c r="AA72" s="32"/>
      <c r="AB72" s="33"/>
      <c r="AC72" s="24"/>
      <c r="AD72" s="272">
        <v>266230</v>
      </c>
      <c r="AE72" s="273">
        <f>+(+AD71+AD72)/AA71</f>
        <v>0.669999400310852</v>
      </c>
      <c r="AF72" s="274">
        <v>45834</v>
      </c>
      <c r="AG72" s="272"/>
      <c r="AH72" s="272">
        <f>+H71*10000-AH71</f>
        <v>234139</v>
      </c>
      <c r="AI72" s="272"/>
      <c r="AJ72" s="272">
        <f>+AD72-AH72</f>
        <v>32091</v>
      </c>
      <c r="AK72" s="272"/>
      <c r="AL72" s="275"/>
      <c r="AM72" s="275"/>
      <c r="AN72" s="275"/>
      <c r="AO72" s="276"/>
    </row>
    <row r="73" s="1" customFormat="1" ht="21" customHeight="1" spans="1:42">
      <c r="A73" s="27"/>
      <c r="B73" s="12"/>
      <c r="C73" s="12"/>
      <c r="D73" s="28"/>
      <c r="E73" s="14"/>
      <c r="F73" s="12"/>
      <c r="G73" s="29"/>
      <c r="H73" s="29"/>
      <c r="I73" s="29"/>
      <c r="J73" s="29"/>
      <c r="K73" s="29"/>
      <c r="L73" s="12"/>
      <c r="M73" s="12"/>
      <c r="N73" s="30"/>
      <c r="O73" s="17"/>
      <c r="P73" s="31"/>
      <c r="Q73" s="19"/>
      <c r="R73" s="20"/>
      <c r="S73" s="21"/>
      <c r="T73" s="27"/>
      <c r="U73" s="27"/>
      <c r="V73" s="27"/>
      <c r="W73" s="27"/>
      <c r="X73" s="33"/>
      <c r="Y73" s="33"/>
      <c r="Z73" s="32"/>
      <c r="AA73" s="32"/>
      <c r="AB73" s="33"/>
      <c r="AC73" s="24"/>
      <c r="AD73" s="277">
        <v>79149</v>
      </c>
      <c r="AE73" s="278">
        <f>+(AD73+AD72+AD71)/AA71</f>
        <v>0.779998928481267</v>
      </c>
      <c r="AF73" s="279">
        <v>45869</v>
      </c>
      <c r="AG73" s="277"/>
      <c r="AH73" s="277">
        <v>50000</v>
      </c>
      <c r="AI73" s="277">
        <v>29149</v>
      </c>
      <c r="AJ73" s="277">
        <f>29149-AI73</f>
        <v>0</v>
      </c>
      <c r="AK73" s="277">
        <f>50000-AH73</f>
        <v>0</v>
      </c>
      <c r="AL73" s="277"/>
      <c r="AM73" s="277"/>
      <c r="AN73" s="277">
        <f>-AI73</f>
        <v>-29149</v>
      </c>
      <c r="AO73" s="280">
        <f>-AH73</f>
        <v>-50000</v>
      </c>
    </row>
    <row r="74" s="1" customFormat="1" ht="21" customHeight="1" spans="1:42">
      <c r="A74" s="34"/>
      <c r="B74" s="12"/>
      <c r="C74" s="12"/>
      <c r="D74" s="35"/>
      <c r="E74" s="14"/>
      <c r="F74" s="12"/>
      <c r="G74" s="36"/>
      <c r="H74" s="36"/>
      <c r="I74" s="36"/>
      <c r="J74" s="36"/>
      <c r="K74" s="36"/>
      <c r="L74" s="12"/>
      <c r="M74" s="12"/>
      <c r="N74" s="30"/>
      <c r="O74" s="17"/>
      <c r="P74" s="31"/>
      <c r="Q74" s="19"/>
      <c r="R74" s="20"/>
      <c r="S74" s="21"/>
      <c r="T74" s="34"/>
      <c r="U74" s="34"/>
      <c r="V74" s="34"/>
      <c r="W74" s="34"/>
      <c r="X74" s="38"/>
      <c r="Y74" s="38"/>
      <c r="Z74" s="37"/>
      <c r="AA74" s="37"/>
      <c r="AB74" s="38"/>
      <c r="AC74" s="24"/>
      <c r="AD74" s="281"/>
      <c r="AE74" s="282"/>
      <c r="AF74" s="281"/>
      <c r="AG74" s="281"/>
      <c r="AH74" s="281"/>
      <c r="AI74" s="281"/>
      <c r="AJ74" s="281"/>
      <c r="AK74" s="281"/>
      <c r="AL74" s="281"/>
      <c r="AM74" s="281"/>
      <c r="AN74" s="281">
        <f>+AP71</f>
        <v>80460.55</v>
      </c>
      <c r="AO74" s="283"/>
    </row>
    <row r="75" s="1" customFormat="1" ht="21" customHeight="1" spans="1:42">
      <c r="A75" s="11">
        <v>18</v>
      </c>
      <c r="B75" s="12" t="s">
        <v>42</v>
      </c>
      <c r="C75" s="12" t="s">
        <v>43</v>
      </c>
      <c r="D75" s="13" t="s">
        <v>85</v>
      </c>
      <c r="E75" s="14" t="s">
        <v>45</v>
      </c>
      <c r="F75" s="12" t="s">
        <v>86</v>
      </c>
      <c r="G75" s="15">
        <v>80</v>
      </c>
      <c r="H75" s="15">
        <v>45</v>
      </c>
      <c r="I75" s="15"/>
      <c r="J75" s="15">
        <v>30</v>
      </c>
      <c r="K75" s="15">
        <v>5</v>
      </c>
      <c r="L75" s="12" t="s">
        <v>47</v>
      </c>
      <c r="M75" s="12" t="str">
        <f>F75</f>
        <v>榆林乡管庄村</v>
      </c>
      <c r="N75" s="30" t="s">
        <v>72</v>
      </c>
      <c r="O75" s="17">
        <v>45809</v>
      </c>
      <c r="P75" s="31" t="s">
        <v>49</v>
      </c>
      <c r="Q75" s="19" t="s">
        <v>50</v>
      </c>
      <c r="R75" s="20" t="s">
        <v>51</v>
      </c>
      <c r="S75" s="21"/>
      <c r="T75" s="11">
        <f>+H75+AH77/10000</f>
        <v>50</v>
      </c>
      <c r="U75" s="11">
        <f>+I75+AI77/10000</f>
        <v>2.9772</v>
      </c>
      <c r="V75" s="11">
        <f>+J75-U75</f>
        <v>27.0228</v>
      </c>
      <c r="W75" s="11">
        <f>+K75-AH77/10000</f>
        <v>0</v>
      </c>
      <c r="X75" s="23">
        <v>745184.36</v>
      </c>
      <c r="Y75" s="23">
        <v>745184.36</v>
      </c>
      <c r="Z75" s="22">
        <v>725193.97</v>
      </c>
      <c r="AA75" s="22">
        <v>725193.97</v>
      </c>
      <c r="AB75" s="23"/>
      <c r="AC75" s="24"/>
      <c r="AD75" s="268">
        <v>217558</v>
      </c>
      <c r="AE75" s="269">
        <f>+AD75/AA75</f>
        <v>0.29999973662219</v>
      </c>
      <c r="AF75" s="270">
        <v>45834</v>
      </c>
      <c r="AG75" s="268"/>
      <c r="AH75" s="268">
        <f>+AD75</f>
        <v>217558</v>
      </c>
      <c r="AI75" s="268"/>
      <c r="AJ75" s="268"/>
      <c r="AK75" s="268"/>
      <c r="AL75" s="268"/>
      <c r="AM75" s="268"/>
      <c r="AN75" s="268">
        <f>+G75*10000-AA75-AO75</f>
        <v>24806.03</v>
      </c>
      <c r="AO75" s="271">
        <f>+K75*10000</f>
        <v>50000</v>
      </c>
      <c r="AP75" s="1">
        <f>+G75*10000-AA75</f>
        <v>74806.03</v>
      </c>
    </row>
    <row r="76" s="1" customFormat="1" ht="21" customHeight="1" spans="1:42">
      <c r="A76" s="27"/>
      <c r="B76" s="12"/>
      <c r="C76" s="12"/>
      <c r="D76" s="28"/>
      <c r="E76" s="14"/>
      <c r="F76" s="12"/>
      <c r="G76" s="29"/>
      <c r="H76" s="29"/>
      <c r="I76" s="29"/>
      <c r="J76" s="29"/>
      <c r="K76" s="29"/>
      <c r="L76" s="12"/>
      <c r="M76" s="12"/>
      <c r="N76" s="30"/>
      <c r="O76" s="17"/>
      <c r="P76" s="31"/>
      <c r="Q76" s="19"/>
      <c r="R76" s="20"/>
      <c r="S76" s="21"/>
      <c r="T76" s="27"/>
      <c r="U76" s="27"/>
      <c r="V76" s="27"/>
      <c r="W76" s="27"/>
      <c r="X76" s="33"/>
      <c r="Y76" s="33"/>
      <c r="Z76" s="32"/>
      <c r="AA76" s="32"/>
      <c r="AB76" s="33"/>
      <c r="AC76" s="24"/>
      <c r="AD76" s="272">
        <v>268321</v>
      </c>
      <c r="AE76" s="273">
        <f>+(+AD75+AD76)/AA75</f>
        <v>0.669998676354135</v>
      </c>
      <c r="AF76" s="274">
        <v>45834</v>
      </c>
      <c r="AG76" s="272"/>
      <c r="AH76" s="272">
        <f>+H75*10000-AH75</f>
        <v>232442</v>
      </c>
      <c r="AI76" s="272"/>
      <c r="AJ76" s="272">
        <f>+AD76-AH76</f>
        <v>35879</v>
      </c>
      <c r="AK76" s="272"/>
      <c r="AL76" s="275"/>
      <c r="AM76" s="275"/>
      <c r="AN76" s="275"/>
      <c r="AO76" s="276"/>
    </row>
    <row r="77" s="1" customFormat="1" ht="21" customHeight="1" spans="1:42">
      <c r="A77" s="27"/>
      <c r="B77" s="12"/>
      <c r="C77" s="12"/>
      <c r="D77" s="28"/>
      <c r="E77" s="14"/>
      <c r="F77" s="12"/>
      <c r="G77" s="29"/>
      <c r="H77" s="29"/>
      <c r="I77" s="29"/>
      <c r="J77" s="29"/>
      <c r="K77" s="29"/>
      <c r="L77" s="12"/>
      <c r="M77" s="12"/>
      <c r="N77" s="30"/>
      <c r="O77" s="17"/>
      <c r="P77" s="31"/>
      <c r="Q77" s="19"/>
      <c r="R77" s="20"/>
      <c r="S77" s="21"/>
      <c r="T77" s="27"/>
      <c r="U77" s="27"/>
      <c r="V77" s="27"/>
      <c r="W77" s="27"/>
      <c r="X77" s="33"/>
      <c r="Y77" s="33"/>
      <c r="Z77" s="32"/>
      <c r="AA77" s="32"/>
      <c r="AB77" s="33"/>
      <c r="AC77" s="24"/>
      <c r="AD77" s="277">
        <v>79772</v>
      </c>
      <c r="AE77" s="278">
        <f>+(AD77+AD76+AD75)/AA75</f>
        <v>0.779999591005976</v>
      </c>
      <c r="AF77" s="279">
        <v>45869</v>
      </c>
      <c r="AG77" s="277"/>
      <c r="AH77" s="277">
        <v>50000</v>
      </c>
      <c r="AI77" s="277">
        <v>29772</v>
      </c>
      <c r="AJ77" s="277">
        <f>29772-AI77</f>
        <v>0</v>
      </c>
      <c r="AK77" s="277">
        <f>50000-AH77</f>
        <v>0</v>
      </c>
      <c r="AL77" s="277"/>
      <c r="AM77" s="277"/>
      <c r="AN77" s="277">
        <f>-AI77</f>
        <v>-29772</v>
      </c>
      <c r="AO77" s="280">
        <f>-AH77</f>
        <v>-50000</v>
      </c>
    </row>
    <row r="78" s="1" customFormat="1" ht="21" customHeight="1" spans="1:42">
      <c r="A78" s="34"/>
      <c r="B78" s="12"/>
      <c r="C78" s="12"/>
      <c r="D78" s="35"/>
      <c r="E78" s="14"/>
      <c r="F78" s="12"/>
      <c r="G78" s="36"/>
      <c r="H78" s="36"/>
      <c r="I78" s="36"/>
      <c r="J78" s="36"/>
      <c r="K78" s="36"/>
      <c r="L78" s="12"/>
      <c r="M78" s="12"/>
      <c r="N78" s="30"/>
      <c r="O78" s="17"/>
      <c r="P78" s="31"/>
      <c r="Q78" s="19"/>
      <c r="R78" s="20"/>
      <c r="S78" s="21"/>
      <c r="T78" s="34"/>
      <c r="U78" s="34"/>
      <c r="V78" s="34"/>
      <c r="W78" s="34"/>
      <c r="X78" s="38"/>
      <c r="Y78" s="38"/>
      <c r="Z78" s="37"/>
      <c r="AA78" s="37"/>
      <c r="AB78" s="38"/>
      <c r="AC78" s="24"/>
      <c r="AD78" s="281"/>
      <c r="AE78" s="282"/>
      <c r="AF78" s="281"/>
      <c r="AG78" s="281"/>
      <c r="AH78" s="281"/>
      <c r="AI78" s="281"/>
      <c r="AJ78" s="281"/>
      <c r="AK78" s="281"/>
      <c r="AL78" s="281"/>
      <c r="AM78" s="281"/>
      <c r="AN78" s="281">
        <f>+AP75</f>
        <v>74806.03</v>
      </c>
      <c r="AO78" s="283"/>
    </row>
    <row r="79" s="1" customFormat="1" ht="21" customHeight="1" spans="1:42">
      <c r="A79" s="11">
        <v>19</v>
      </c>
      <c r="B79" s="12" t="s">
        <v>42</v>
      </c>
      <c r="C79" s="12" t="s">
        <v>43</v>
      </c>
      <c r="D79" s="13" t="s">
        <v>87</v>
      </c>
      <c r="E79" s="14" t="s">
        <v>45</v>
      </c>
      <c r="F79" s="12" t="s">
        <v>88</v>
      </c>
      <c r="G79" s="15">
        <v>80</v>
      </c>
      <c r="H79" s="15">
        <v>45</v>
      </c>
      <c r="I79" s="15"/>
      <c r="J79" s="15">
        <v>30</v>
      </c>
      <c r="K79" s="15">
        <v>5</v>
      </c>
      <c r="L79" s="12" t="s">
        <v>47</v>
      </c>
      <c r="M79" s="12" t="str">
        <f>F79</f>
        <v>榆林乡岳庄村</v>
      </c>
      <c r="N79" s="30" t="s">
        <v>72</v>
      </c>
      <c r="O79" s="17">
        <v>45809</v>
      </c>
      <c r="P79" s="31" t="s">
        <v>49</v>
      </c>
      <c r="Q79" s="19" t="s">
        <v>50</v>
      </c>
      <c r="R79" s="20" t="s">
        <v>51</v>
      </c>
      <c r="S79" s="21"/>
      <c r="T79" s="11">
        <f>+H79+AH81/10000</f>
        <v>50</v>
      </c>
      <c r="U79" s="11">
        <f>+I79+AI81/10000</f>
        <v>2.9149</v>
      </c>
      <c r="V79" s="11">
        <f>+J79-U79</f>
        <v>27.0851</v>
      </c>
      <c r="W79" s="11">
        <f>+K79-AH81/10000</f>
        <v>0</v>
      </c>
      <c r="X79" s="23">
        <v>743083.25</v>
      </c>
      <c r="Y79" s="23">
        <v>743083.25</v>
      </c>
      <c r="Z79" s="22">
        <v>719539.45</v>
      </c>
      <c r="AA79" s="22">
        <v>719539.45</v>
      </c>
      <c r="AB79" s="23"/>
      <c r="AC79" s="24"/>
      <c r="AD79" s="268">
        <v>215861</v>
      </c>
      <c r="AE79" s="269">
        <f>+AD79/AA79</f>
        <v>0.299998839535483</v>
      </c>
      <c r="AF79" s="270">
        <v>45834</v>
      </c>
      <c r="AG79" s="268"/>
      <c r="AH79" s="268">
        <f>+AD79</f>
        <v>215861</v>
      </c>
      <c r="AI79" s="268"/>
      <c r="AJ79" s="268"/>
      <c r="AK79" s="268"/>
      <c r="AL79" s="268"/>
      <c r="AM79" s="268"/>
      <c r="AN79" s="268">
        <f>+G79*10000-AA79-AO79</f>
        <v>30460.55</v>
      </c>
      <c r="AO79" s="271">
        <f>+K79*10000</f>
        <v>50000</v>
      </c>
      <c r="AP79" s="1">
        <f>+G79*10000-AA79</f>
        <v>80460.55</v>
      </c>
    </row>
    <row r="80" s="1" customFormat="1" ht="21" customHeight="1" spans="1:42">
      <c r="A80" s="27"/>
      <c r="B80" s="12"/>
      <c r="C80" s="12"/>
      <c r="D80" s="28"/>
      <c r="E80" s="14"/>
      <c r="F80" s="12"/>
      <c r="G80" s="29"/>
      <c r="H80" s="29"/>
      <c r="I80" s="29"/>
      <c r="J80" s="29"/>
      <c r="K80" s="29"/>
      <c r="L80" s="12"/>
      <c r="M80" s="12"/>
      <c r="N80" s="30"/>
      <c r="O80" s="17"/>
      <c r="P80" s="31"/>
      <c r="Q80" s="19"/>
      <c r="R80" s="20"/>
      <c r="S80" s="21"/>
      <c r="T80" s="27"/>
      <c r="U80" s="27"/>
      <c r="V80" s="27"/>
      <c r="W80" s="27"/>
      <c r="X80" s="33"/>
      <c r="Y80" s="33"/>
      <c r="Z80" s="32"/>
      <c r="AA80" s="32"/>
      <c r="AB80" s="33"/>
      <c r="AC80" s="24"/>
      <c r="AD80" s="272">
        <v>266230</v>
      </c>
      <c r="AE80" s="273">
        <f>+(+AD79+AD80)/AA79</f>
        <v>0.669999400310852</v>
      </c>
      <c r="AF80" s="274">
        <v>45834</v>
      </c>
      <c r="AG80" s="272"/>
      <c r="AH80" s="272">
        <f>+H79*10000-AH79</f>
        <v>234139</v>
      </c>
      <c r="AI80" s="272"/>
      <c r="AJ80" s="272">
        <f>+AD80-AH80</f>
        <v>32091</v>
      </c>
      <c r="AK80" s="272"/>
      <c r="AL80" s="275"/>
      <c r="AM80" s="275"/>
      <c r="AN80" s="275"/>
      <c r="AO80" s="276"/>
    </row>
    <row r="81" s="1" customFormat="1" ht="21" customHeight="1" spans="1:42">
      <c r="A81" s="27"/>
      <c r="B81" s="12"/>
      <c r="C81" s="12"/>
      <c r="D81" s="28"/>
      <c r="E81" s="14"/>
      <c r="F81" s="12"/>
      <c r="G81" s="29"/>
      <c r="H81" s="29"/>
      <c r="I81" s="29"/>
      <c r="J81" s="29"/>
      <c r="K81" s="29"/>
      <c r="L81" s="12"/>
      <c r="M81" s="12"/>
      <c r="N81" s="30"/>
      <c r="O81" s="17"/>
      <c r="P81" s="31"/>
      <c r="Q81" s="19"/>
      <c r="R81" s="20"/>
      <c r="S81" s="21"/>
      <c r="T81" s="27"/>
      <c r="U81" s="27"/>
      <c r="V81" s="27"/>
      <c r="W81" s="27"/>
      <c r="X81" s="33"/>
      <c r="Y81" s="33"/>
      <c r="Z81" s="32"/>
      <c r="AA81" s="32"/>
      <c r="AB81" s="33"/>
      <c r="AC81" s="24"/>
      <c r="AD81" s="277">
        <v>79149</v>
      </c>
      <c r="AE81" s="278">
        <f>+(AD81+AD80+AD79)/AA79</f>
        <v>0.779998928481267</v>
      </c>
      <c r="AF81" s="279">
        <v>45869</v>
      </c>
      <c r="AG81" s="277"/>
      <c r="AH81" s="277">
        <v>50000</v>
      </c>
      <c r="AI81" s="277">
        <v>29149</v>
      </c>
      <c r="AJ81" s="277">
        <f>29149-AI81</f>
        <v>0</v>
      </c>
      <c r="AK81" s="277">
        <f>50000-AH81</f>
        <v>0</v>
      </c>
      <c r="AL81" s="277"/>
      <c r="AM81" s="277"/>
      <c r="AN81" s="277">
        <f>-AI81</f>
        <v>-29149</v>
      </c>
      <c r="AO81" s="280">
        <f>-AH81</f>
        <v>-50000</v>
      </c>
    </row>
    <row r="82" s="1" customFormat="1" ht="21" customHeight="1" spans="1:42">
      <c r="A82" s="34"/>
      <c r="B82" s="12"/>
      <c r="C82" s="12"/>
      <c r="D82" s="35"/>
      <c r="E82" s="14"/>
      <c r="F82" s="12"/>
      <c r="G82" s="36"/>
      <c r="H82" s="36"/>
      <c r="I82" s="36"/>
      <c r="J82" s="36"/>
      <c r="K82" s="36"/>
      <c r="L82" s="12"/>
      <c r="M82" s="12"/>
      <c r="N82" s="30"/>
      <c r="O82" s="17"/>
      <c r="P82" s="31"/>
      <c r="Q82" s="19"/>
      <c r="R82" s="20"/>
      <c r="S82" s="21"/>
      <c r="T82" s="34"/>
      <c r="U82" s="34"/>
      <c r="V82" s="34"/>
      <c r="W82" s="34"/>
      <c r="X82" s="38"/>
      <c r="Y82" s="38"/>
      <c r="Z82" s="37"/>
      <c r="AA82" s="37"/>
      <c r="AB82" s="38"/>
      <c r="AC82" s="24"/>
      <c r="AD82" s="281"/>
      <c r="AE82" s="282"/>
      <c r="AF82" s="281"/>
      <c r="AG82" s="281"/>
      <c r="AH82" s="281"/>
      <c r="AI82" s="281"/>
      <c r="AJ82" s="281"/>
      <c r="AK82" s="281"/>
      <c r="AL82" s="281"/>
      <c r="AM82" s="281"/>
      <c r="AN82" s="281">
        <f>+AP79</f>
        <v>80460.55</v>
      </c>
      <c r="AO82" s="283"/>
    </row>
    <row r="83" s="1" customFormat="1" ht="21" customHeight="1" spans="1:42">
      <c r="A83" s="11">
        <v>20</v>
      </c>
      <c r="B83" s="12" t="s">
        <v>42</v>
      </c>
      <c r="C83" s="12" t="s">
        <v>43</v>
      </c>
      <c r="D83" s="13" t="s">
        <v>89</v>
      </c>
      <c r="E83" s="14" t="s">
        <v>45</v>
      </c>
      <c r="F83" s="12" t="s">
        <v>90</v>
      </c>
      <c r="G83" s="15">
        <v>80</v>
      </c>
      <c r="H83" s="15">
        <v>45</v>
      </c>
      <c r="I83" s="15"/>
      <c r="J83" s="15">
        <v>30</v>
      </c>
      <c r="K83" s="15">
        <v>5</v>
      </c>
      <c r="L83" s="12" t="s">
        <v>47</v>
      </c>
      <c r="M83" s="12" t="str">
        <f>F83</f>
        <v>榆林乡扁担黄村</v>
      </c>
      <c r="N83" s="30" t="s">
        <v>72</v>
      </c>
      <c r="O83" s="17">
        <v>45809</v>
      </c>
      <c r="P83" s="31" t="s">
        <v>49</v>
      </c>
      <c r="Q83" s="19" t="s">
        <v>50</v>
      </c>
      <c r="R83" s="20" t="s">
        <v>51</v>
      </c>
      <c r="S83" s="21"/>
      <c r="T83" s="11">
        <f>+H83+AH85/10000</f>
        <v>50</v>
      </c>
      <c r="U83" s="11">
        <f>+I83+AI85/10000</f>
        <v>2.9149</v>
      </c>
      <c r="V83" s="11">
        <f>+J83-U83</f>
        <v>27.0851</v>
      </c>
      <c r="W83" s="11">
        <f>+K83-AH85/10000</f>
        <v>0</v>
      </c>
      <c r="X83" s="23">
        <v>743083.25</v>
      </c>
      <c r="Y83" s="23">
        <v>743083.25</v>
      </c>
      <c r="Z83" s="22">
        <v>719539.45</v>
      </c>
      <c r="AA83" s="22">
        <v>719539.45</v>
      </c>
      <c r="AB83" s="23"/>
      <c r="AC83" s="24"/>
      <c r="AD83" s="268">
        <v>215861</v>
      </c>
      <c r="AE83" s="269">
        <f>+AD83/AA83</f>
        <v>0.299998839535483</v>
      </c>
      <c r="AF83" s="270">
        <v>45834</v>
      </c>
      <c r="AG83" s="268"/>
      <c r="AH83" s="268">
        <f>+AD83</f>
        <v>215861</v>
      </c>
      <c r="AI83" s="268"/>
      <c r="AJ83" s="268"/>
      <c r="AK83" s="268"/>
      <c r="AL83" s="268"/>
      <c r="AM83" s="268"/>
      <c r="AN83" s="268">
        <f>+G83*10000-AA83-AO83</f>
        <v>30460.55</v>
      </c>
      <c r="AO83" s="271">
        <f>+K83*10000</f>
        <v>50000</v>
      </c>
      <c r="AP83" s="1">
        <f>+G83*10000-AA83</f>
        <v>80460.55</v>
      </c>
    </row>
    <row r="84" s="1" customFormat="1" ht="21" customHeight="1" spans="1:42">
      <c r="A84" s="27"/>
      <c r="B84" s="12"/>
      <c r="C84" s="12"/>
      <c r="D84" s="28"/>
      <c r="E84" s="14"/>
      <c r="F84" s="12"/>
      <c r="G84" s="29"/>
      <c r="H84" s="29"/>
      <c r="I84" s="29"/>
      <c r="J84" s="29"/>
      <c r="K84" s="29"/>
      <c r="L84" s="12"/>
      <c r="M84" s="12"/>
      <c r="N84" s="30"/>
      <c r="O84" s="17"/>
      <c r="P84" s="31"/>
      <c r="Q84" s="19"/>
      <c r="R84" s="20"/>
      <c r="S84" s="21"/>
      <c r="T84" s="27"/>
      <c r="U84" s="27"/>
      <c r="V84" s="27"/>
      <c r="W84" s="27"/>
      <c r="X84" s="33"/>
      <c r="Y84" s="33"/>
      <c r="Z84" s="32"/>
      <c r="AA84" s="32"/>
      <c r="AB84" s="33"/>
      <c r="AC84" s="24"/>
      <c r="AD84" s="272">
        <v>266230</v>
      </c>
      <c r="AE84" s="273">
        <f>+(+AD83+AD84)/AA83</f>
        <v>0.669999400310852</v>
      </c>
      <c r="AF84" s="274">
        <v>45834</v>
      </c>
      <c r="AG84" s="272"/>
      <c r="AH84" s="272">
        <f>+H83*10000-AH83</f>
        <v>234139</v>
      </c>
      <c r="AI84" s="272"/>
      <c r="AJ84" s="272">
        <f>+AD84-AH84</f>
        <v>32091</v>
      </c>
      <c r="AK84" s="272"/>
      <c r="AL84" s="275"/>
      <c r="AM84" s="275"/>
      <c r="AN84" s="275"/>
      <c r="AO84" s="276"/>
    </row>
    <row r="85" s="1" customFormat="1" ht="21" customHeight="1" spans="1:42">
      <c r="A85" s="27"/>
      <c r="B85" s="12"/>
      <c r="C85" s="12"/>
      <c r="D85" s="28"/>
      <c r="E85" s="14"/>
      <c r="F85" s="12"/>
      <c r="G85" s="29"/>
      <c r="H85" s="29"/>
      <c r="I85" s="29"/>
      <c r="J85" s="29"/>
      <c r="K85" s="29"/>
      <c r="L85" s="12"/>
      <c r="M85" s="12"/>
      <c r="N85" s="30"/>
      <c r="O85" s="17"/>
      <c r="P85" s="31"/>
      <c r="Q85" s="19"/>
      <c r="R85" s="20"/>
      <c r="S85" s="21"/>
      <c r="T85" s="27"/>
      <c r="U85" s="27"/>
      <c r="V85" s="27"/>
      <c r="W85" s="27"/>
      <c r="X85" s="33"/>
      <c r="Y85" s="33"/>
      <c r="Z85" s="32"/>
      <c r="AA85" s="32"/>
      <c r="AB85" s="33"/>
      <c r="AC85" s="24"/>
      <c r="AD85" s="277">
        <v>79149</v>
      </c>
      <c r="AE85" s="278">
        <f>+(AD85+AD84+AD83)/AA83</f>
        <v>0.779998928481267</v>
      </c>
      <c r="AF85" s="279">
        <v>45869</v>
      </c>
      <c r="AG85" s="277"/>
      <c r="AH85" s="277">
        <v>50000</v>
      </c>
      <c r="AI85" s="277">
        <v>29149</v>
      </c>
      <c r="AJ85" s="277">
        <f>29149-AI85</f>
        <v>0</v>
      </c>
      <c r="AK85" s="277">
        <f>50000-AH85</f>
        <v>0</v>
      </c>
      <c r="AL85" s="277"/>
      <c r="AM85" s="277"/>
      <c r="AN85" s="277">
        <f>-AI85</f>
        <v>-29149</v>
      </c>
      <c r="AO85" s="280">
        <f>-AH85</f>
        <v>-50000</v>
      </c>
    </row>
    <row r="86" s="1" customFormat="1" ht="21" customHeight="1" spans="1:42">
      <c r="A86" s="34"/>
      <c r="B86" s="12"/>
      <c r="C86" s="12"/>
      <c r="D86" s="35"/>
      <c r="E86" s="14"/>
      <c r="F86" s="12"/>
      <c r="G86" s="36"/>
      <c r="H86" s="36"/>
      <c r="I86" s="36"/>
      <c r="J86" s="36"/>
      <c r="K86" s="36"/>
      <c r="L86" s="12"/>
      <c r="M86" s="12"/>
      <c r="N86" s="30"/>
      <c r="O86" s="17"/>
      <c r="P86" s="31"/>
      <c r="Q86" s="19"/>
      <c r="R86" s="20"/>
      <c r="S86" s="21"/>
      <c r="T86" s="34"/>
      <c r="U86" s="34"/>
      <c r="V86" s="34"/>
      <c r="W86" s="34"/>
      <c r="X86" s="38"/>
      <c r="Y86" s="38"/>
      <c r="Z86" s="37"/>
      <c r="AA86" s="37"/>
      <c r="AB86" s="38"/>
      <c r="AC86" s="24"/>
      <c r="AD86" s="281"/>
      <c r="AE86" s="282"/>
      <c r="AF86" s="281"/>
      <c r="AG86" s="281"/>
      <c r="AH86" s="281"/>
      <c r="AI86" s="281"/>
      <c r="AJ86" s="281"/>
      <c r="AK86" s="281"/>
      <c r="AL86" s="281"/>
      <c r="AM86" s="281"/>
      <c r="AN86" s="281">
        <f>+AP83</f>
        <v>80460.55</v>
      </c>
      <c r="AO86" s="283"/>
    </row>
    <row r="87" s="1" customFormat="1" ht="21" customHeight="1" spans="1:42">
      <c r="A87" s="11">
        <v>21</v>
      </c>
      <c r="B87" s="12" t="s">
        <v>42</v>
      </c>
      <c r="C87" s="12" t="s">
        <v>43</v>
      </c>
      <c r="D87" s="13" t="s">
        <v>91</v>
      </c>
      <c r="E87" s="14" t="s">
        <v>45</v>
      </c>
      <c r="F87" s="12" t="s">
        <v>92</v>
      </c>
      <c r="G87" s="15">
        <v>80</v>
      </c>
      <c r="H87" s="15">
        <v>45</v>
      </c>
      <c r="I87" s="15"/>
      <c r="J87" s="15">
        <v>30</v>
      </c>
      <c r="K87" s="15">
        <v>5</v>
      </c>
      <c r="L87" s="12" t="s">
        <v>47</v>
      </c>
      <c r="M87" s="12" t="str">
        <f>F87</f>
        <v>榆林乡贾庄村</v>
      </c>
      <c r="N87" s="30" t="s">
        <v>72</v>
      </c>
      <c r="O87" s="17">
        <v>45809</v>
      </c>
      <c r="P87" s="31" t="s">
        <v>49</v>
      </c>
      <c r="Q87" s="19" t="s">
        <v>50</v>
      </c>
      <c r="R87" s="20" t="s">
        <v>51</v>
      </c>
      <c r="S87" s="21"/>
      <c r="T87" s="11">
        <f>+H87+AH89/10000</f>
        <v>50</v>
      </c>
      <c r="U87" s="11">
        <f>+I87+AI89/10000</f>
        <v>2.9149</v>
      </c>
      <c r="V87" s="11">
        <f>+J87-U87</f>
        <v>27.0851</v>
      </c>
      <c r="W87" s="11">
        <f>+K87-AH89/10000</f>
        <v>0</v>
      </c>
      <c r="X87" s="23">
        <v>743083.25</v>
      </c>
      <c r="Y87" s="23">
        <v>743083.25</v>
      </c>
      <c r="Z87" s="22">
        <v>719539.45</v>
      </c>
      <c r="AA87" s="22">
        <v>719539.45</v>
      </c>
      <c r="AB87" s="23"/>
      <c r="AC87" s="24"/>
      <c r="AD87" s="268">
        <v>215861</v>
      </c>
      <c r="AE87" s="269">
        <f>+AD87/AA87</f>
        <v>0.299998839535483</v>
      </c>
      <c r="AF87" s="270">
        <v>45834</v>
      </c>
      <c r="AG87" s="268"/>
      <c r="AH87" s="268">
        <f>+AD87</f>
        <v>215861</v>
      </c>
      <c r="AI87" s="268"/>
      <c r="AJ87" s="268"/>
      <c r="AK87" s="268"/>
      <c r="AL87" s="268"/>
      <c r="AM87" s="268"/>
      <c r="AN87" s="268">
        <f>+G87*10000-AA87-AO87</f>
        <v>30460.55</v>
      </c>
      <c r="AO87" s="271">
        <f>+K87*10000</f>
        <v>50000</v>
      </c>
      <c r="AP87" s="1">
        <f>+G87*10000-AA87</f>
        <v>80460.55</v>
      </c>
    </row>
    <row r="88" s="1" customFormat="1" ht="21" customHeight="1" spans="1:42">
      <c r="A88" s="27"/>
      <c r="B88" s="12"/>
      <c r="C88" s="12"/>
      <c r="D88" s="28"/>
      <c r="E88" s="14"/>
      <c r="F88" s="12"/>
      <c r="G88" s="29"/>
      <c r="H88" s="29"/>
      <c r="I88" s="29"/>
      <c r="J88" s="29"/>
      <c r="K88" s="29"/>
      <c r="L88" s="12"/>
      <c r="M88" s="12"/>
      <c r="N88" s="30"/>
      <c r="O88" s="17"/>
      <c r="P88" s="31"/>
      <c r="Q88" s="19"/>
      <c r="R88" s="20"/>
      <c r="S88" s="21"/>
      <c r="T88" s="27"/>
      <c r="U88" s="27"/>
      <c r="V88" s="27"/>
      <c r="W88" s="27"/>
      <c r="X88" s="33"/>
      <c r="Y88" s="33"/>
      <c r="Z88" s="32"/>
      <c r="AA88" s="32"/>
      <c r="AB88" s="33"/>
      <c r="AC88" s="24"/>
      <c r="AD88" s="272">
        <v>266230</v>
      </c>
      <c r="AE88" s="273">
        <f>+(+AD87+AD88)/AA87</f>
        <v>0.669999400310852</v>
      </c>
      <c r="AF88" s="274">
        <v>45834</v>
      </c>
      <c r="AG88" s="272"/>
      <c r="AH88" s="272">
        <f>+H87*10000-AH87</f>
        <v>234139</v>
      </c>
      <c r="AI88" s="272"/>
      <c r="AJ88" s="272">
        <f>+AD88-AH88</f>
        <v>32091</v>
      </c>
      <c r="AK88" s="272"/>
      <c r="AL88" s="275"/>
      <c r="AM88" s="275"/>
      <c r="AN88" s="275"/>
      <c r="AO88" s="276"/>
    </row>
    <row r="89" s="1" customFormat="1" ht="21" customHeight="1" spans="1:42">
      <c r="A89" s="27"/>
      <c r="B89" s="12"/>
      <c r="C89" s="12"/>
      <c r="D89" s="28"/>
      <c r="E89" s="14"/>
      <c r="F89" s="12"/>
      <c r="G89" s="29"/>
      <c r="H89" s="29"/>
      <c r="I89" s="29"/>
      <c r="J89" s="29"/>
      <c r="K89" s="29"/>
      <c r="L89" s="12"/>
      <c r="M89" s="12"/>
      <c r="N89" s="30"/>
      <c r="O89" s="17"/>
      <c r="P89" s="31"/>
      <c r="Q89" s="19"/>
      <c r="R89" s="20"/>
      <c r="S89" s="21"/>
      <c r="T89" s="27"/>
      <c r="U89" s="27"/>
      <c r="V89" s="27"/>
      <c r="W89" s="27"/>
      <c r="X89" s="33"/>
      <c r="Y89" s="33"/>
      <c r="Z89" s="32"/>
      <c r="AA89" s="32"/>
      <c r="AB89" s="33"/>
      <c r="AC89" s="24"/>
      <c r="AD89" s="277">
        <v>79149</v>
      </c>
      <c r="AE89" s="278">
        <f>+(AD89+AD88+AD87)/AA87</f>
        <v>0.779998928481267</v>
      </c>
      <c r="AF89" s="279">
        <v>45869</v>
      </c>
      <c r="AG89" s="277"/>
      <c r="AH89" s="277">
        <v>50000</v>
      </c>
      <c r="AI89" s="277">
        <v>29149</v>
      </c>
      <c r="AJ89" s="277">
        <f>29149-AI89</f>
        <v>0</v>
      </c>
      <c r="AK89" s="277">
        <f>50000-AH89</f>
        <v>0</v>
      </c>
      <c r="AL89" s="277"/>
      <c r="AM89" s="277"/>
      <c r="AN89" s="277">
        <f>-AI89</f>
        <v>-29149</v>
      </c>
      <c r="AO89" s="280">
        <f>-AH89</f>
        <v>-50000</v>
      </c>
    </row>
    <row r="90" s="1" customFormat="1" ht="21" customHeight="1" spans="1:42">
      <c r="A90" s="34"/>
      <c r="B90" s="12"/>
      <c r="C90" s="12"/>
      <c r="D90" s="35"/>
      <c r="E90" s="14"/>
      <c r="F90" s="12"/>
      <c r="G90" s="36"/>
      <c r="H90" s="36"/>
      <c r="I90" s="36"/>
      <c r="J90" s="36"/>
      <c r="K90" s="36"/>
      <c r="L90" s="12"/>
      <c r="M90" s="12"/>
      <c r="N90" s="30"/>
      <c r="O90" s="17"/>
      <c r="P90" s="31"/>
      <c r="Q90" s="19"/>
      <c r="R90" s="20"/>
      <c r="S90" s="21"/>
      <c r="T90" s="34"/>
      <c r="U90" s="34"/>
      <c r="V90" s="34"/>
      <c r="W90" s="34"/>
      <c r="X90" s="38"/>
      <c r="Y90" s="38"/>
      <c r="Z90" s="37"/>
      <c r="AA90" s="37"/>
      <c r="AB90" s="38"/>
      <c r="AC90" s="24"/>
      <c r="AD90" s="281"/>
      <c r="AE90" s="282"/>
      <c r="AF90" s="281"/>
      <c r="AG90" s="281"/>
      <c r="AH90" s="281"/>
      <c r="AI90" s="281"/>
      <c r="AJ90" s="281"/>
      <c r="AK90" s="281"/>
      <c r="AL90" s="281"/>
      <c r="AM90" s="281"/>
      <c r="AN90" s="281">
        <f>+AP87</f>
        <v>80460.55</v>
      </c>
      <c r="AO90" s="283"/>
    </row>
    <row r="91" s="1" customFormat="1" ht="21" customHeight="1" spans="1:42">
      <c r="A91" s="11">
        <v>22</v>
      </c>
      <c r="B91" s="12" t="s">
        <v>42</v>
      </c>
      <c r="C91" s="12" t="s">
        <v>43</v>
      </c>
      <c r="D91" s="13" t="s">
        <v>93</v>
      </c>
      <c r="E91" s="14" t="s">
        <v>45</v>
      </c>
      <c r="F91" s="12" t="s">
        <v>94</v>
      </c>
      <c r="G91" s="15">
        <v>80</v>
      </c>
      <c r="H91" s="15">
        <v>45</v>
      </c>
      <c r="I91" s="15"/>
      <c r="J91" s="15">
        <v>30</v>
      </c>
      <c r="K91" s="15">
        <v>5</v>
      </c>
      <c r="L91" s="12" t="s">
        <v>47</v>
      </c>
      <c r="M91" s="12" t="str">
        <f>F91</f>
        <v>榆林乡大魏庄村</v>
      </c>
      <c r="N91" s="30" t="s">
        <v>72</v>
      </c>
      <c r="O91" s="17">
        <v>45809</v>
      </c>
      <c r="P91" s="31" t="s">
        <v>49</v>
      </c>
      <c r="Q91" s="19" t="s">
        <v>50</v>
      </c>
      <c r="R91" s="20" t="s">
        <v>51</v>
      </c>
      <c r="S91" s="21"/>
      <c r="T91" s="11">
        <f>+H91+AH93/10000</f>
        <v>50</v>
      </c>
      <c r="U91" s="11">
        <f>+I91+AI93/10000</f>
        <v>2.9772</v>
      </c>
      <c r="V91" s="11">
        <f>+J91-U91</f>
        <v>27.0228</v>
      </c>
      <c r="W91" s="11">
        <f>+K91-AH93/10000</f>
        <v>0</v>
      </c>
      <c r="X91" s="23">
        <v>745184.36</v>
      </c>
      <c r="Y91" s="23">
        <v>745184.36</v>
      </c>
      <c r="Z91" s="22">
        <v>725193.97</v>
      </c>
      <c r="AA91" s="22">
        <v>725193.97</v>
      </c>
      <c r="AB91" s="23"/>
      <c r="AC91" s="24"/>
      <c r="AD91" s="268">
        <v>217558</v>
      </c>
      <c r="AE91" s="269">
        <f>+AD91/AA91</f>
        <v>0.29999973662219</v>
      </c>
      <c r="AF91" s="270">
        <v>45834</v>
      </c>
      <c r="AG91" s="268"/>
      <c r="AH91" s="268">
        <f>+AD91</f>
        <v>217558</v>
      </c>
      <c r="AI91" s="268"/>
      <c r="AJ91" s="268"/>
      <c r="AK91" s="268"/>
      <c r="AL91" s="268"/>
      <c r="AM91" s="268"/>
      <c r="AN91" s="268">
        <f>+G91*10000-AA91-AO91</f>
        <v>24806.03</v>
      </c>
      <c r="AO91" s="271">
        <f>+K91*10000</f>
        <v>50000</v>
      </c>
      <c r="AP91" s="1">
        <f>+G91*10000-AA91</f>
        <v>74806.03</v>
      </c>
    </row>
    <row r="92" s="1" customFormat="1" ht="21" customHeight="1" spans="1:42">
      <c r="A92" s="27"/>
      <c r="B92" s="12"/>
      <c r="C92" s="12"/>
      <c r="D92" s="28"/>
      <c r="E92" s="14"/>
      <c r="F92" s="12"/>
      <c r="G92" s="29"/>
      <c r="H92" s="29"/>
      <c r="I92" s="29"/>
      <c r="J92" s="29"/>
      <c r="K92" s="29"/>
      <c r="L92" s="12"/>
      <c r="M92" s="12"/>
      <c r="N92" s="30"/>
      <c r="O92" s="17"/>
      <c r="P92" s="31"/>
      <c r="Q92" s="19"/>
      <c r="R92" s="20"/>
      <c r="S92" s="21"/>
      <c r="T92" s="27"/>
      <c r="U92" s="27"/>
      <c r="V92" s="27"/>
      <c r="W92" s="27"/>
      <c r="X92" s="33"/>
      <c r="Y92" s="33"/>
      <c r="Z92" s="32"/>
      <c r="AA92" s="32"/>
      <c r="AB92" s="33"/>
      <c r="AC92" s="24"/>
      <c r="AD92" s="272">
        <v>268321</v>
      </c>
      <c r="AE92" s="273">
        <f>+(+AD91+AD92)/AA91</f>
        <v>0.669998676354135</v>
      </c>
      <c r="AF92" s="274">
        <v>45834</v>
      </c>
      <c r="AG92" s="272"/>
      <c r="AH92" s="272">
        <f>+H91*10000-AH91</f>
        <v>232442</v>
      </c>
      <c r="AI92" s="272"/>
      <c r="AJ92" s="272">
        <f>+AD92-AH92</f>
        <v>35879</v>
      </c>
      <c r="AK92" s="272"/>
      <c r="AL92" s="275"/>
      <c r="AM92" s="275"/>
      <c r="AN92" s="275"/>
      <c r="AO92" s="276"/>
    </row>
    <row r="93" s="1" customFormat="1" ht="21" customHeight="1" spans="1:42">
      <c r="A93" s="27"/>
      <c r="B93" s="12"/>
      <c r="C93" s="12"/>
      <c r="D93" s="28"/>
      <c r="E93" s="14"/>
      <c r="F93" s="12"/>
      <c r="G93" s="29"/>
      <c r="H93" s="29"/>
      <c r="I93" s="29"/>
      <c r="J93" s="29"/>
      <c r="K93" s="29"/>
      <c r="L93" s="12"/>
      <c r="M93" s="12"/>
      <c r="N93" s="30"/>
      <c r="O93" s="17"/>
      <c r="P93" s="31"/>
      <c r="Q93" s="19"/>
      <c r="R93" s="20"/>
      <c r="S93" s="21"/>
      <c r="T93" s="27"/>
      <c r="U93" s="27"/>
      <c r="V93" s="27"/>
      <c r="W93" s="27"/>
      <c r="X93" s="33"/>
      <c r="Y93" s="33"/>
      <c r="Z93" s="32"/>
      <c r="AA93" s="32"/>
      <c r="AB93" s="33"/>
      <c r="AC93" s="24"/>
      <c r="AD93" s="277">
        <v>79772</v>
      </c>
      <c r="AE93" s="278">
        <f>+(AD93+AD92+AD91)/AA91</f>
        <v>0.779999591005976</v>
      </c>
      <c r="AF93" s="279">
        <v>45869</v>
      </c>
      <c r="AG93" s="277"/>
      <c r="AH93" s="277">
        <v>50000</v>
      </c>
      <c r="AI93" s="277">
        <v>29772</v>
      </c>
      <c r="AJ93" s="277">
        <f>29772-AI93</f>
        <v>0</v>
      </c>
      <c r="AK93" s="277">
        <f>50000-AH93</f>
        <v>0</v>
      </c>
      <c r="AL93" s="277"/>
      <c r="AM93" s="277"/>
      <c r="AN93" s="277">
        <f>-AI93</f>
        <v>-29772</v>
      </c>
      <c r="AO93" s="280">
        <f>-AH93</f>
        <v>-50000</v>
      </c>
    </row>
    <row r="94" s="1" customFormat="1" ht="21" customHeight="1" spans="1:42">
      <c r="A94" s="34"/>
      <c r="B94" s="12"/>
      <c r="C94" s="12"/>
      <c r="D94" s="35"/>
      <c r="E94" s="14"/>
      <c r="F94" s="12"/>
      <c r="G94" s="36"/>
      <c r="H94" s="36"/>
      <c r="I94" s="36"/>
      <c r="J94" s="36"/>
      <c r="K94" s="36"/>
      <c r="L94" s="12"/>
      <c r="M94" s="12"/>
      <c r="N94" s="30"/>
      <c r="O94" s="17"/>
      <c r="P94" s="31"/>
      <c r="Q94" s="19"/>
      <c r="R94" s="20"/>
      <c r="S94" s="21"/>
      <c r="T94" s="34"/>
      <c r="U94" s="34"/>
      <c r="V94" s="34"/>
      <c r="W94" s="34"/>
      <c r="X94" s="38"/>
      <c r="Y94" s="38"/>
      <c r="Z94" s="37"/>
      <c r="AA94" s="37"/>
      <c r="AB94" s="38"/>
      <c r="AC94" s="24"/>
      <c r="AD94" s="281"/>
      <c r="AE94" s="282"/>
      <c r="AF94" s="281"/>
      <c r="AG94" s="281"/>
      <c r="AH94" s="281"/>
      <c r="AI94" s="281"/>
      <c r="AJ94" s="281"/>
      <c r="AK94" s="281"/>
      <c r="AL94" s="281"/>
      <c r="AM94" s="281"/>
      <c r="AN94" s="281">
        <f>+AP91</f>
        <v>74806.03</v>
      </c>
      <c r="AO94" s="283"/>
    </row>
    <row r="95" s="1" customFormat="1" ht="21" customHeight="1" spans="1:42">
      <c r="A95" s="11">
        <v>23</v>
      </c>
      <c r="B95" s="12" t="s">
        <v>42</v>
      </c>
      <c r="C95" s="12" t="s">
        <v>43</v>
      </c>
      <c r="D95" s="13" t="s">
        <v>95</v>
      </c>
      <c r="E95" s="14" t="s">
        <v>45</v>
      </c>
      <c r="F95" s="12" t="s">
        <v>96</v>
      </c>
      <c r="G95" s="15">
        <v>80</v>
      </c>
      <c r="H95" s="15">
        <v>45</v>
      </c>
      <c r="I95" s="15"/>
      <c r="J95" s="15">
        <v>30</v>
      </c>
      <c r="K95" s="15">
        <v>5</v>
      </c>
      <c r="L95" s="12" t="s">
        <v>47</v>
      </c>
      <c r="M95" s="12" t="str">
        <f>F95</f>
        <v>蒋李集镇沟张村</v>
      </c>
      <c r="N95" s="30" t="s">
        <v>97</v>
      </c>
      <c r="O95" s="17">
        <v>45809</v>
      </c>
      <c r="P95" s="31" t="s">
        <v>49</v>
      </c>
      <c r="Q95" s="19" t="s">
        <v>50</v>
      </c>
      <c r="R95" s="20" t="s">
        <v>51</v>
      </c>
      <c r="S95" s="21"/>
      <c r="T95" s="11">
        <f>+H95+AH97/10000</f>
        <v>50</v>
      </c>
      <c r="U95" s="11">
        <f>+I95+AI97/10000</f>
        <v>2.9149</v>
      </c>
      <c r="V95" s="11">
        <f>+J95-U95</f>
        <v>27.0851</v>
      </c>
      <c r="W95" s="11">
        <f>+K95-AH97/10000</f>
        <v>0</v>
      </c>
      <c r="X95" s="23">
        <v>743083.25</v>
      </c>
      <c r="Y95" s="23">
        <v>743083.25</v>
      </c>
      <c r="Z95" s="22">
        <v>719539.45</v>
      </c>
      <c r="AA95" s="22">
        <v>719539.45</v>
      </c>
      <c r="AB95" s="23"/>
      <c r="AC95" s="24"/>
      <c r="AD95" s="268">
        <v>215861</v>
      </c>
      <c r="AE95" s="269">
        <f>+AD95/AA95</f>
        <v>0.299998839535483</v>
      </c>
      <c r="AF95" s="270">
        <v>45834</v>
      </c>
      <c r="AG95" s="268"/>
      <c r="AH95" s="268">
        <f>+AD95</f>
        <v>215861</v>
      </c>
      <c r="AI95" s="268"/>
      <c r="AJ95" s="268"/>
      <c r="AK95" s="268"/>
      <c r="AL95" s="268"/>
      <c r="AM95" s="268"/>
      <c r="AN95" s="268">
        <f>+G95*10000-AA95-AO95</f>
        <v>30460.55</v>
      </c>
      <c r="AO95" s="271">
        <f>+K95*10000</f>
        <v>50000</v>
      </c>
      <c r="AP95" s="1">
        <f>+G95*10000-AA95</f>
        <v>80460.55</v>
      </c>
    </row>
    <row r="96" s="1" customFormat="1" ht="21" customHeight="1" spans="1:42">
      <c r="A96" s="27"/>
      <c r="B96" s="12"/>
      <c r="C96" s="12"/>
      <c r="D96" s="28"/>
      <c r="E96" s="14"/>
      <c r="F96" s="12"/>
      <c r="G96" s="29"/>
      <c r="H96" s="29"/>
      <c r="I96" s="29"/>
      <c r="J96" s="29"/>
      <c r="K96" s="29"/>
      <c r="L96" s="12"/>
      <c r="M96" s="12"/>
      <c r="N96" s="30"/>
      <c r="O96" s="17"/>
      <c r="P96" s="31"/>
      <c r="Q96" s="19"/>
      <c r="R96" s="20"/>
      <c r="S96" s="21"/>
      <c r="T96" s="27"/>
      <c r="U96" s="27"/>
      <c r="V96" s="27"/>
      <c r="W96" s="27"/>
      <c r="X96" s="33"/>
      <c r="Y96" s="33"/>
      <c r="Z96" s="32"/>
      <c r="AA96" s="32"/>
      <c r="AB96" s="33"/>
      <c r="AC96" s="24"/>
      <c r="AD96" s="272">
        <v>266230</v>
      </c>
      <c r="AE96" s="273">
        <f>+(+AD95+AD96)/AA95</f>
        <v>0.669999400310852</v>
      </c>
      <c r="AF96" s="274">
        <v>45834</v>
      </c>
      <c r="AG96" s="272"/>
      <c r="AH96" s="272">
        <f>+H95*10000-AH95</f>
        <v>234139</v>
      </c>
      <c r="AI96" s="272"/>
      <c r="AJ96" s="272">
        <f>+AD96-AH96</f>
        <v>32091</v>
      </c>
      <c r="AK96" s="272"/>
      <c r="AL96" s="275"/>
      <c r="AM96" s="275"/>
      <c r="AN96" s="275"/>
      <c r="AO96" s="276"/>
    </row>
    <row r="97" s="1" customFormat="1" ht="21" customHeight="1" spans="1:42">
      <c r="A97" s="27"/>
      <c r="B97" s="12"/>
      <c r="C97" s="12"/>
      <c r="D97" s="28"/>
      <c r="E97" s="14"/>
      <c r="F97" s="12"/>
      <c r="G97" s="29"/>
      <c r="H97" s="29"/>
      <c r="I97" s="29"/>
      <c r="J97" s="29"/>
      <c r="K97" s="29"/>
      <c r="L97" s="12"/>
      <c r="M97" s="12"/>
      <c r="N97" s="30"/>
      <c r="O97" s="17"/>
      <c r="P97" s="31"/>
      <c r="Q97" s="19"/>
      <c r="R97" s="20"/>
      <c r="S97" s="21"/>
      <c r="T97" s="27"/>
      <c r="U97" s="27"/>
      <c r="V97" s="27"/>
      <c r="W97" s="27"/>
      <c r="X97" s="33"/>
      <c r="Y97" s="33"/>
      <c r="Z97" s="32"/>
      <c r="AA97" s="32"/>
      <c r="AB97" s="33"/>
      <c r="AC97" s="24"/>
      <c r="AD97" s="277">
        <v>79149</v>
      </c>
      <c r="AE97" s="278">
        <f>+(AD97+AD96+AD95)/AA95</f>
        <v>0.779998928481267</v>
      </c>
      <c r="AF97" s="279">
        <v>45869</v>
      </c>
      <c r="AG97" s="277"/>
      <c r="AH97" s="277">
        <v>50000</v>
      </c>
      <c r="AI97" s="277">
        <v>29149</v>
      </c>
      <c r="AJ97" s="277">
        <f>29149-AI97</f>
        <v>0</v>
      </c>
      <c r="AK97" s="277">
        <f>50000-AH97</f>
        <v>0</v>
      </c>
      <c r="AL97" s="277"/>
      <c r="AM97" s="277"/>
      <c r="AN97" s="277">
        <f>-AI97</f>
        <v>-29149</v>
      </c>
      <c r="AO97" s="280">
        <f>-AH97</f>
        <v>-50000</v>
      </c>
    </row>
    <row r="98" s="1" customFormat="1" ht="21" customHeight="1" spans="1:42">
      <c r="A98" s="34"/>
      <c r="B98" s="12"/>
      <c r="C98" s="12"/>
      <c r="D98" s="35"/>
      <c r="E98" s="14"/>
      <c r="F98" s="12"/>
      <c r="G98" s="36"/>
      <c r="H98" s="36"/>
      <c r="I98" s="36"/>
      <c r="J98" s="36"/>
      <c r="K98" s="36"/>
      <c r="L98" s="12"/>
      <c r="M98" s="12"/>
      <c r="N98" s="30"/>
      <c r="O98" s="17"/>
      <c r="P98" s="31"/>
      <c r="Q98" s="19"/>
      <c r="R98" s="20"/>
      <c r="S98" s="21"/>
      <c r="T98" s="34"/>
      <c r="U98" s="34"/>
      <c r="V98" s="34"/>
      <c r="W98" s="34"/>
      <c r="X98" s="38"/>
      <c r="Y98" s="38"/>
      <c r="Z98" s="37"/>
      <c r="AA98" s="37"/>
      <c r="AB98" s="38"/>
      <c r="AC98" s="24"/>
      <c r="AD98" s="281"/>
      <c r="AE98" s="282"/>
      <c r="AF98" s="281"/>
      <c r="AG98" s="281"/>
      <c r="AH98" s="281"/>
      <c r="AI98" s="281"/>
      <c r="AJ98" s="281"/>
      <c r="AK98" s="281"/>
      <c r="AL98" s="281"/>
      <c r="AM98" s="281"/>
      <c r="AN98" s="281">
        <f>+AP95</f>
        <v>80460.55</v>
      </c>
      <c r="AO98" s="283"/>
    </row>
    <row r="99" s="1" customFormat="1" ht="21" customHeight="1" spans="1:42">
      <c r="A99" s="11">
        <v>24</v>
      </c>
      <c r="B99" s="12" t="s">
        <v>42</v>
      </c>
      <c r="C99" s="12" t="s">
        <v>43</v>
      </c>
      <c r="D99" s="13" t="s">
        <v>98</v>
      </c>
      <c r="E99" s="14" t="s">
        <v>45</v>
      </c>
      <c r="F99" s="12" t="s">
        <v>99</v>
      </c>
      <c r="G99" s="15">
        <v>80</v>
      </c>
      <c r="H99" s="15">
        <v>45</v>
      </c>
      <c r="I99" s="15"/>
      <c r="J99" s="15">
        <v>30</v>
      </c>
      <c r="K99" s="15">
        <v>5</v>
      </c>
      <c r="L99" s="12" t="s">
        <v>47</v>
      </c>
      <c r="M99" s="12" t="str">
        <f>F99</f>
        <v>蒋李集镇老官赵村</v>
      </c>
      <c r="N99" s="30" t="s">
        <v>97</v>
      </c>
      <c r="O99" s="17">
        <v>45809</v>
      </c>
      <c r="P99" s="31" t="s">
        <v>49</v>
      </c>
      <c r="Q99" s="19" t="s">
        <v>50</v>
      </c>
      <c r="R99" s="20" t="s">
        <v>51</v>
      </c>
      <c r="S99" s="21"/>
      <c r="T99" s="11">
        <f>+H99+AH101/10000</f>
        <v>50</v>
      </c>
      <c r="U99" s="11">
        <f>+I99+AI101/10000</f>
        <v>2.9149</v>
      </c>
      <c r="V99" s="11">
        <f>+J99-U99</f>
        <v>27.0851</v>
      </c>
      <c r="W99" s="11">
        <f>+K99-AH101/10000</f>
        <v>0</v>
      </c>
      <c r="X99" s="23">
        <v>743083.25</v>
      </c>
      <c r="Y99" s="23">
        <v>743083.25</v>
      </c>
      <c r="Z99" s="22">
        <v>719539.45</v>
      </c>
      <c r="AA99" s="22">
        <v>719539.45</v>
      </c>
      <c r="AB99" s="23"/>
      <c r="AC99" s="24"/>
      <c r="AD99" s="268">
        <v>215861</v>
      </c>
      <c r="AE99" s="269">
        <f>+AD99/AA99</f>
        <v>0.299998839535483</v>
      </c>
      <c r="AF99" s="270">
        <v>45834</v>
      </c>
      <c r="AG99" s="268"/>
      <c r="AH99" s="268">
        <f>+AD99</f>
        <v>215861</v>
      </c>
      <c r="AI99" s="268"/>
      <c r="AJ99" s="268"/>
      <c r="AK99" s="268"/>
      <c r="AL99" s="268"/>
      <c r="AM99" s="268"/>
      <c r="AN99" s="268">
        <f>+G99*10000-AA99-AO99</f>
        <v>30460.55</v>
      </c>
      <c r="AO99" s="271">
        <f>+K99*10000</f>
        <v>50000</v>
      </c>
      <c r="AP99" s="1">
        <f>+G99*10000-AA99</f>
        <v>80460.55</v>
      </c>
    </row>
    <row r="100" s="1" customFormat="1" ht="21" customHeight="1" spans="1:42">
      <c r="A100" s="27"/>
      <c r="B100" s="12"/>
      <c r="C100" s="12"/>
      <c r="D100" s="28"/>
      <c r="E100" s="14"/>
      <c r="F100" s="12"/>
      <c r="G100" s="29"/>
      <c r="H100" s="29"/>
      <c r="I100" s="29"/>
      <c r="J100" s="29"/>
      <c r="K100" s="29"/>
      <c r="L100" s="12"/>
      <c r="M100" s="12"/>
      <c r="N100" s="30"/>
      <c r="O100" s="17"/>
      <c r="P100" s="31"/>
      <c r="Q100" s="19"/>
      <c r="R100" s="20"/>
      <c r="S100" s="21"/>
      <c r="T100" s="27"/>
      <c r="U100" s="27"/>
      <c r="V100" s="27"/>
      <c r="W100" s="27"/>
      <c r="X100" s="33"/>
      <c r="Y100" s="33"/>
      <c r="Z100" s="32"/>
      <c r="AA100" s="32"/>
      <c r="AB100" s="33"/>
      <c r="AC100" s="24"/>
      <c r="AD100" s="272">
        <v>266230</v>
      </c>
      <c r="AE100" s="273">
        <f>+(+AD99+AD100)/AA99</f>
        <v>0.669999400310852</v>
      </c>
      <c r="AF100" s="274">
        <v>45834</v>
      </c>
      <c r="AG100" s="272"/>
      <c r="AH100" s="272">
        <f>+H99*10000-AH99</f>
        <v>234139</v>
      </c>
      <c r="AI100" s="272"/>
      <c r="AJ100" s="272">
        <f>+AD100-AH100</f>
        <v>32091</v>
      </c>
      <c r="AK100" s="272"/>
      <c r="AL100" s="275"/>
      <c r="AM100" s="275"/>
      <c r="AN100" s="275"/>
      <c r="AO100" s="276"/>
    </row>
    <row r="101" s="1" customFormat="1" ht="21" customHeight="1" spans="1:42">
      <c r="A101" s="27"/>
      <c r="B101" s="12"/>
      <c r="C101" s="12"/>
      <c r="D101" s="28"/>
      <c r="E101" s="14"/>
      <c r="F101" s="12"/>
      <c r="G101" s="29"/>
      <c r="H101" s="29"/>
      <c r="I101" s="29"/>
      <c r="J101" s="29"/>
      <c r="K101" s="29"/>
      <c r="L101" s="12"/>
      <c r="M101" s="12"/>
      <c r="N101" s="30"/>
      <c r="O101" s="17"/>
      <c r="P101" s="31"/>
      <c r="Q101" s="19"/>
      <c r="R101" s="20"/>
      <c r="S101" s="21"/>
      <c r="T101" s="27"/>
      <c r="U101" s="27"/>
      <c r="V101" s="27"/>
      <c r="W101" s="27"/>
      <c r="X101" s="33"/>
      <c r="Y101" s="33"/>
      <c r="Z101" s="32"/>
      <c r="AA101" s="32"/>
      <c r="AB101" s="33"/>
      <c r="AC101" s="24"/>
      <c r="AD101" s="277">
        <v>79149</v>
      </c>
      <c r="AE101" s="278">
        <f>+(AD101+AD100+AD99)/AA99</f>
        <v>0.779998928481267</v>
      </c>
      <c r="AF101" s="279">
        <v>45869</v>
      </c>
      <c r="AG101" s="277"/>
      <c r="AH101" s="277">
        <v>50000</v>
      </c>
      <c r="AI101" s="277">
        <v>29149</v>
      </c>
      <c r="AJ101" s="277">
        <f>29149-AI101</f>
        <v>0</v>
      </c>
      <c r="AK101" s="277">
        <f>50000-AH101</f>
        <v>0</v>
      </c>
      <c r="AL101" s="277"/>
      <c r="AM101" s="277"/>
      <c r="AN101" s="277">
        <f>-AI101</f>
        <v>-29149</v>
      </c>
      <c r="AO101" s="280">
        <f>-AH101</f>
        <v>-50000</v>
      </c>
    </row>
    <row r="102" s="1" customFormat="1" ht="21" customHeight="1" spans="1:42">
      <c r="A102" s="34"/>
      <c r="B102" s="12"/>
      <c r="C102" s="12"/>
      <c r="D102" s="35"/>
      <c r="E102" s="14"/>
      <c r="F102" s="12"/>
      <c r="G102" s="36"/>
      <c r="H102" s="36"/>
      <c r="I102" s="36"/>
      <c r="J102" s="36"/>
      <c r="K102" s="36"/>
      <c r="L102" s="12"/>
      <c r="M102" s="12"/>
      <c r="N102" s="30"/>
      <c r="O102" s="17"/>
      <c r="P102" s="31"/>
      <c r="Q102" s="19"/>
      <c r="R102" s="20"/>
      <c r="S102" s="21"/>
      <c r="T102" s="34"/>
      <c r="U102" s="34"/>
      <c r="V102" s="34"/>
      <c r="W102" s="34"/>
      <c r="X102" s="38"/>
      <c r="Y102" s="38"/>
      <c r="Z102" s="37"/>
      <c r="AA102" s="37"/>
      <c r="AB102" s="38"/>
      <c r="AC102" s="24"/>
      <c r="AD102" s="281"/>
      <c r="AE102" s="282"/>
      <c r="AF102" s="281"/>
      <c r="AG102" s="281"/>
      <c r="AH102" s="281"/>
      <c r="AI102" s="281"/>
      <c r="AJ102" s="281"/>
      <c r="AK102" s="281"/>
      <c r="AL102" s="281"/>
      <c r="AM102" s="281"/>
      <c r="AN102" s="281">
        <f>+AP99</f>
        <v>80460.55</v>
      </c>
      <c r="AO102" s="283"/>
    </row>
    <row r="103" s="1" customFormat="1" ht="21" customHeight="1" spans="1:42">
      <c r="A103" s="11">
        <v>25</v>
      </c>
      <c r="B103" s="12" t="s">
        <v>42</v>
      </c>
      <c r="C103" s="12" t="s">
        <v>43</v>
      </c>
      <c r="D103" s="13" t="s">
        <v>100</v>
      </c>
      <c r="E103" s="14" t="s">
        <v>45</v>
      </c>
      <c r="F103" s="12" t="s">
        <v>101</v>
      </c>
      <c r="G103" s="15">
        <v>80</v>
      </c>
      <c r="H103" s="15">
        <v>45</v>
      </c>
      <c r="I103" s="15"/>
      <c r="J103" s="15">
        <v>30</v>
      </c>
      <c r="K103" s="15">
        <v>5</v>
      </c>
      <c r="L103" s="12" t="s">
        <v>47</v>
      </c>
      <c r="M103" s="12" t="str">
        <f>F103</f>
        <v>蒋李集镇孟庄村</v>
      </c>
      <c r="N103" s="30" t="s">
        <v>97</v>
      </c>
      <c r="O103" s="17">
        <v>45809</v>
      </c>
      <c r="P103" s="31" t="s">
        <v>49</v>
      </c>
      <c r="Q103" s="19" t="s">
        <v>50</v>
      </c>
      <c r="R103" s="20" t="s">
        <v>51</v>
      </c>
      <c r="S103" s="21"/>
      <c r="T103" s="11">
        <f>+H103+AH105/10000</f>
        <v>50</v>
      </c>
      <c r="U103" s="11">
        <f>+I103+AI105/10000</f>
        <v>2.9149</v>
      </c>
      <c r="V103" s="11">
        <f>+J103-U103</f>
        <v>27.0851</v>
      </c>
      <c r="W103" s="11">
        <f>+K103-AH105/10000</f>
        <v>0</v>
      </c>
      <c r="X103" s="23">
        <v>743083.25</v>
      </c>
      <c r="Y103" s="23">
        <v>743083.25</v>
      </c>
      <c r="Z103" s="22">
        <v>719539.45</v>
      </c>
      <c r="AA103" s="22">
        <v>719539.45</v>
      </c>
      <c r="AB103" s="23"/>
      <c r="AC103" s="24"/>
      <c r="AD103" s="268">
        <v>215861</v>
      </c>
      <c r="AE103" s="269">
        <f>+AD103/AA103</f>
        <v>0.299998839535483</v>
      </c>
      <c r="AF103" s="270">
        <v>45834</v>
      </c>
      <c r="AG103" s="268"/>
      <c r="AH103" s="268">
        <f>+AD103</f>
        <v>215861</v>
      </c>
      <c r="AI103" s="268"/>
      <c r="AJ103" s="268"/>
      <c r="AK103" s="268"/>
      <c r="AL103" s="268"/>
      <c r="AM103" s="268"/>
      <c r="AN103" s="268">
        <f>+G103*10000-AA103-AO103</f>
        <v>30460.55</v>
      </c>
      <c r="AO103" s="271">
        <f>+K103*10000</f>
        <v>50000</v>
      </c>
      <c r="AP103" s="1">
        <f>+G103*10000-AA103</f>
        <v>80460.55</v>
      </c>
    </row>
    <row r="104" s="1" customFormat="1" ht="21" customHeight="1" spans="1:42">
      <c r="A104" s="27"/>
      <c r="B104" s="12"/>
      <c r="C104" s="12"/>
      <c r="D104" s="28"/>
      <c r="E104" s="14"/>
      <c r="F104" s="12"/>
      <c r="G104" s="29"/>
      <c r="H104" s="29"/>
      <c r="I104" s="29"/>
      <c r="J104" s="29"/>
      <c r="K104" s="29"/>
      <c r="L104" s="12"/>
      <c r="M104" s="12"/>
      <c r="N104" s="30"/>
      <c r="O104" s="17"/>
      <c r="P104" s="31"/>
      <c r="Q104" s="19"/>
      <c r="R104" s="20"/>
      <c r="S104" s="21"/>
      <c r="T104" s="27"/>
      <c r="U104" s="27"/>
      <c r="V104" s="27"/>
      <c r="W104" s="27"/>
      <c r="X104" s="33"/>
      <c r="Y104" s="33"/>
      <c r="Z104" s="32"/>
      <c r="AA104" s="32"/>
      <c r="AB104" s="33"/>
      <c r="AC104" s="24"/>
      <c r="AD104" s="272">
        <v>266230</v>
      </c>
      <c r="AE104" s="273">
        <f>+(+AD103+AD104)/AA103</f>
        <v>0.669999400310852</v>
      </c>
      <c r="AF104" s="274">
        <v>45834</v>
      </c>
      <c r="AG104" s="272"/>
      <c r="AH104" s="272">
        <f>+H103*10000-AH103</f>
        <v>234139</v>
      </c>
      <c r="AI104" s="272"/>
      <c r="AJ104" s="272">
        <f>+AD104-AH104</f>
        <v>32091</v>
      </c>
      <c r="AK104" s="272"/>
      <c r="AL104" s="275"/>
      <c r="AM104" s="275"/>
      <c r="AN104" s="275"/>
      <c r="AO104" s="276"/>
    </row>
    <row r="105" s="1" customFormat="1" ht="21" customHeight="1" spans="1:42">
      <c r="A105" s="27"/>
      <c r="B105" s="12"/>
      <c r="C105" s="12"/>
      <c r="D105" s="28"/>
      <c r="E105" s="14"/>
      <c r="F105" s="12"/>
      <c r="G105" s="29"/>
      <c r="H105" s="29"/>
      <c r="I105" s="29"/>
      <c r="J105" s="29"/>
      <c r="K105" s="29"/>
      <c r="L105" s="12"/>
      <c r="M105" s="12"/>
      <c r="N105" s="30"/>
      <c r="O105" s="17"/>
      <c r="P105" s="31"/>
      <c r="Q105" s="19"/>
      <c r="R105" s="20"/>
      <c r="S105" s="21"/>
      <c r="T105" s="27"/>
      <c r="U105" s="27"/>
      <c r="V105" s="27"/>
      <c r="W105" s="27"/>
      <c r="X105" s="33"/>
      <c r="Y105" s="33"/>
      <c r="Z105" s="32"/>
      <c r="AA105" s="32"/>
      <c r="AB105" s="33"/>
      <c r="AC105" s="24"/>
      <c r="AD105" s="277">
        <v>79149</v>
      </c>
      <c r="AE105" s="278">
        <f>+(AD105+AD104+AD103)/AA103</f>
        <v>0.779998928481267</v>
      </c>
      <c r="AF105" s="279">
        <v>45869</v>
      </c>
      <c r="AG105" s="277"/>
      <c r="AH105" s="277">
        <v>50000</v>
      </c>
      <c r="AI105" s="277">
        <v>29149</v>
      </c>
      <c r="AJ105" s="277">
        <f>29149-AI105</f>
        <v>0</v>
      </c>
      <c r="AK105" s="277">
        <f>50000-AH105</f>
        <v>0</v>
      </c>
      <c r="AL105" s="277"/>
      <c r="AM105" s="277"/>
      <c r="AN105" s="277">
        <f>-AI105</f>
        <v>-29149</v>
      </c>
      <c r="AO105" s="280">
        <f>-AH105</f>
        <v>-50000</v>
      </c>
    </row>
    <row r="106" s="1" customFormat="1" ht="21" customHeight="1" spans="1:42">
      <c r="A106" s="34"/>
      <c r="B106" s="12"/>
      <c r="C106" s="12"/>
      <c r="D106" s="35"/>
      <c r="E106" s="14"/>
      <c r="F106" s="12"/>
      <c r="G106" s="36"/>
      <c r="H106" s="36"/>
      <c r="I106" s="36"/>
      <c r="J106" s="36"/>
      <c r="K106" s="36"/>
      <c r="L106" s="12"/>
      <c r="M106" s="12"/>
      <c r="N106" s="30"/>
      <c r="O106" s="17"/>
      <c r="P106" s="31"/>
      <c r="Q106" s="19"/>
      <c r="R106" s="20"/>
      <c r="S106" s="21"/>
      <c r="T106" s="34"/>
      <c r="U106" s="34"/>
      <c r="V106" s="34"/>
      <c r="W106" s="34"/>
      <c r="X106" s="38"/>
      <c r="Y106" s="38"/>
      <c r="Z106" s="37"/>
      <c r="AA106" s="37"/>
      <c r="AB106" s="38"/>
      <c r="AC106" s="24"/>
      <c r="AD106" s="281"/>
      <c r="AE106" s="282"/>
      <c r="AF106" s="281"/>
      <c r="AG106" s="281"/>
      <c r="AH106" s="281"/>
      <c r="AI106" s="281"/>
      <c r="AJ106" s="281"/>
      <c r="AK106" s="281"/>
      <c r="AL106" s="281"/>
      <c r="AM106" s="281"/>
      <c r="AN106" s="281">
        <f>+AP103</f>
        <v>80460.55</v>
      </c>
      <c r="AO106" s="283"/>
    </row>
    <row r="107" s="1" customFormat="1" ht="21" customHeight="1" spans="1:42">
      <c r="A107" s="11">
        <v>26</v>
      </c>
      <c r="B107" s="12" t="s">
        <v>42</v>
      </c>
      <c r="C107" s="12" t="s">
        <v>43</v>
      </c>
      <c r="D107" s="13" t="s">
        <v>102</v>
      </c>
      <c r="E107" s="14" t="s">
        <v>45</v>
      </c>
      <c r="F107" s="12" t="s">
        <v>103</v>
      </c>
      <c r="G107" s="15">
        <v>80</v>
      </c>
      <c r="H107" s="15">
        <v>45</v>
      </c>
      <c r="I107" s="15"/>
      <c r="J107" s="15">
        <v>30</v>
      </c>
      <c r="K107" s="15">
        <v>5</v>
      </c>
      <c r="L107" s="12" t="s">
        <v>47</v>
      </c>
      <c r="M107" s="12" t="str">
        <f>F107</f>
        <v>蒋李集镇桃园武村</v>
      </c>
      <c r="N107" s="30" t="s">
        <v>97</v>
      </c>
      <c r="O107" s="17">
        <v>45809</v>
      </c>
      <c r="P107" s="31" t="s">
        <v>49</v>
      </c>
      <c r="Q107" s="19" t="s">
        <v>50</v>
      </c>
      <c r="R107" s="20" t="s">
        <v>51</v>
      </c>
      <c r="S107" s="21"/>
      <c r="T107" s="11">
        <f>+H107+AH109/10000</f>
        <v>50</v>
      </c>
      <c r="U107" s="11">
        <f>+I107+AI109/10000</f>
        <v>2.9771</v>
      </c>
      <c r="V107" s="11">
        <f>+J107-U107</f>
        <v>27.0229</v>
      </c>
      <c r="W107" s="11">
        <f>+K107-AH109/10000</f>
        <v>0</v>
      </c>
      <c r="X107" s="23">
        <v>745184.65</v>
      </c>
      <c r="Y107" s="23">
        <v>745184.65</v>
      </c>
      <c r="Z107" s="22">
        <v>725194.25</v>
      </c>
      <c r="AA107" s="22">
        <v>725194.25</v>
      </c>
      <c r="AB107" s="23"/>
      <c r="AC107" s="24"/>
      <c r="AD107" s="268">
        <v>217558</v>
      </c>
      <c r="AE107" s="269">
        <f>+AD107/AA107</f>
        <v>0.299999620791257</v>
      </c>
      <c r="AF107" s="270">
        <v>45834</v>
      </c>
      <c r="AG107" s="268"/>
      <c r="AH107" s="268">
        <f>+AD107</f>
        <v>217558</v>
      </c>
      <c r="AI107" s="268"/>
      <c r="AJ107" s="268"/>
      <c r="AK107" s="268"/>
      <c r="AL107" s="268"/>
      <c r="AM107" s="268"/>
      <c r="AN107" s="268">
        <f>+G107*10000-AA107-AO107</f>
        <v>24805.75</v>
      </c>
      <c r="AO107" s="271">
        <f>+K107*10000</f>
        <v>50000</v>
      </c>
      <c r="AP107" s="1">
        <f>+G107*10000-AA107</f>
        <v>74805.75</v>
      </c>
    </row>
    <row r="108" s="1" customFormat="1" ht="21" customHeight="1" spans="1:42">
      <c r="A108" s="27"/>
      <c r="B108" s="12"/>
      <c r="C108" s="12"/>
      <c r="D108" s="28"/>
      <c r="E108" s="14"/>
      <c r="F108" s="12"/>
      <c r="G108" s="29"/>
      <c r="H108" s="29"/>
      <c r="I108" s="29"/>
      <c r="J108" s="29"/>
      <c r="K108" s="29"/>
      <c r="L108" s="12"/>
      <c r="M108" s="12"/>
      <c r="N108" s="30"/>
      <c r="O108" s="17"/>
      <c r="P108" s="31"/>
      <c r="Q108" s="19"/>
      <c r="R108" s="20"/>
      <c r="S108" s="21"/>
      <c r="T108" s="27"/>
      <c r="U108" s="27"/>
      <c r="V108" s="27"/>
      <c r="W108" s="27"/>
      <c r="X108" s="33"/>
      <c r="Y108" s="33"/>
      <c r="Z108" s="32"/>
      <c r="AA108" s="32"/>
      <c r="AB108" s="33"/>
      <c r="AC108" s="24"/>
      <c r="AD108" s="272">
        <v>268322</v>
      </c>
      <c r="AE108" s="273">
        <f>+(+AD107+AD108)/AA107</f>
        <v>0.66999979660622</v>
      </c>
      <c r="AF108" s="274">
        <v>45834</v>
      </c>
      <c r="AG108" s="272"/>
      <c r="AH108" s="272">
        <f>+H107*10000-AH107</f>
        <v>232442</v>
      </c>
      <c r="AI108" s="272"/>
      <c r="AJ108" s="272">
        <f>+AD108-AH108</f>
        <v>35880</v>
      </c>
      <c r="AK108" s="272"/>
      <c r="AL108" s="275"/>
      <c r="AM108" s="275"/>
      <c r="AN108" s="275"/>
      <c r="AO108" s="276"/>
    </row>
    <row r="109" s="1" customFormat="1" ht="21" customHeight="1" spans="1:42">
      <c r="A109" s="27"/>
      <c r="B109" s="12"/>
      <c r="C109" s="12"/>
      <c r="D109" s="28"/>
      <c r="E109" s="14"/>
      <c r="F109" s="12"/>
      <c r="G109" s="29"/>
      <c r="H109" s="29"/>
      <c r="I109" s="29"/>
      <c r="J109" s="29"/>
      <c r="K109" s="29"/>
      <c r="L109" s="12"/>
      <c r="M109" s="12"/>
      <c r="N109" s="30"/>
      <c r="O109" s="17"/>
      <c r="P109" s="31"/>
      <c r="Q109" s="19"/>
      <c r="R109" s="20"/>
      <c r="S109" s="21"/>
      <c r="T109" s="27"/>
      <c r="U109" s="27"/>
      <c r="V109" s="27"/>
      <c r="W109" s="27"/>
      <c r="X109" s="33"/>
      <c r="Y109" s="33"/>
      <c r="Z109" s="32"/>
      <c r="AA109" s="32"/>
      <c r="AB109" s="33"/>
      <c r="AC109" s="24"/>
      <c r="AD109" s="277">
        <v>79771</v>
      </c>
      <c r="AE109" s="278">
        <f>+(AD109+AD108+AD107)/AA107</f>
        <v>0.779999289845445</v>
      </c>
      <c r="AF109" s="279">
        <v>45869</v>
      </c>
      <c r="AG109" s="277"/>
      <c r="AH109" s="277">
        <v>50000</v>
      </c>
      <c r="AI109" s="277">
        <v>29771</v>
      </c>
      <c r="AJ109" s="277">
        <f>29771-AI109</f>
        <v>0</v>
      </c>
      <c r="AK109" s="277">
        <f>50000-AH109</f>
        <v>0</v>
      </c>
      <c r="AL109" s="277"/>
      <c r="AM109" s="277"/>
      <c r="AN109" s="277">
        <f>-AI109</f>
        <v>-29771</v>
      </c>
      <c r="AO109" s="280">
        <f>-AH109</f>
        <v>-50000</v>
      </c>
    </row>
    <row r="110" s="1" customFormat="1" ht="21" customHeight="1" spans="1:42">
      <c r="A110" s="34"/>
      <c r="B110" s="12"/>
      <c r="C110" s="12"/>
      <c r="D110" s="35"/>
      <c r="E110" s="14"/>
      <c r="F110" s="12"/>
      <c r="G110" s="36"/>
      <c r="H110" s="36"/>
      <c r="I110" s="36"/>
      <c r="J110" s="36"/>
      <c r="K110" s="36"/>
      <c r="L110" s="12"/>
      <c r="M110" s="12"/>
      <c r="N110" s="30"/>
      <c r="O110" s="17"/>
      <c r="P110" s="31"/>
      <c r="Q110" s="19"/>
      <c r="R110" s="20"/>
      <c r="S110" s="21"/>
      <c r="T110" s="34"/>
      <c r="U110" s="34"/>
      <c r="V110" s="34"/>
      <c r="W110" s="34"/>
      <c r="X110" s="38"/>
      <c r="Y110" s="38"/>
      <c r="Z110" s="37"/>
      <c r="AA110" s="37"/>
      <c r="AB110" s="38"/>
      <c r="AC110" s="24"/>
      <c r="AD110" s="281"/>
      <c r="AE110" s="282"/>
      <c r="AF110" s="281"/>
      <c r="AG110" s="281"/>
      <c r="AH110" s="281"/>
      <c r="AI110" s="281"/>
      <c r="AJ110" s="281"/>
      <c r="AK110" s="281"/>
      <c r="AL110" s="281"/>
      <c r="AM110" s="281"/>
      <c r="AN110" s="281">
        <f>+AP107</f>
        <v>74805.75</v>
      </c>
      <c r="AO110" s="283"/>
    </row>
    <row r="111" s="1" customFormat="1" ht="21" customHeight="1" spans="1:42">
      <c r="A111" s="11">
        <v>27</v>
      </c>
      <c r="B111" s="12" t="s">
        <v>42</v>
      </c>
      <c r="C111" s="12" t="s">
        <v>43</v>
      </c>
      <c r="D111" s="13" t="s">
        <v>104</v>
      </c>
      <c r="E111" s="14" t="s">
        <v>45</v>
      </c>
      <c r="F111" s="12" t="s">
        <v>105</v>
      </c>
      <c r="G111" s="15">
        <v>80</v>
      </c>
      <c r="H111" s="15">
        <v>45</v>
      </c>
      <c r="I111" s="15"/>
      <c r="J111" s="15">
        <v>30</v>
      </c>
      <c r="K111" s="15">
        <v>5</v>
      </c>
      <c r="L111" s="12" t="s">
        <v>47</v>
      </c>
      <c r="M111" s="12" t="str">
        <f>F111</f>
        <v>蒋李集镇圪垱村</v>
      </c>
      <c r="N111" s="30" t="s">
        <v>97</v>
      </c>
      <c r="O111" s="17">
        <v>45809</v>
      </c>
      <c r="P111" s="31" t="s">
        <v>49</v>
      </c>
      <c r="Q111" s="19" t="s">
        <v>50</v>
      </c>
      <c r="R111" s="20" t="s">
        <v>51</v>
      </c>
      <c r="S111" s="21"/>
      <c r="T111" s="11">
        <f>+H111+AH113/10000</f>
        <v>50</v>
      </c>
      <c r="U111" s="11">
        <f>+I111+AI113/10000</f>
        <v>2.9149</v>
      </c>
      <c r="V111" s="11">
        <f>+J111-U111</f>
        <v>27.0851</v>
      </c>
      <c r="W111" s="11">
        <f>+K111-AH113/10000</f>
        <v>0</v>
      </c>
      <c r="X111" s="23">
        <v>743083.25</v>
      </c>
      <c r="Y111" s="23">
        <v>743083.25</v>
      </c>
      <c r="Z111" s="22">
        <v>719539.45</v>
      </c>
      <c r="AA111" s="22">
        <v>719539.45</v>
      </c>
      <c r="AB111" s="23"/>
      <c r="AC111" s="24"/>
      <c r="AD111" s="268">
        <v>215861</v>
      </c>
      <c r="AE111" s="269">
        <f>+AD111/AA111</f>
        <v>0.299998839535483</v>
      </c>
      <c r="AF111" s="270">
        <v>45834</v>
      </c>
      <c r="AG111" s="268"/>
      <c r="AH111" s="268">
        <f>+AD111</f>
        <v>215861</v>
      </c>
      <c r="AI111" s="268"/>
      <c r="AJ111" s="268"/>
      <c r="AK111" s="268"/>
      <c r="AL111" s="268"/>
      <c r="AM111" s="268"/>
      <c r="AN111" s="268">
        <f>+G111*10000-AA111-AO111</f>
        <v>30460.55</v>
      </c>
      <c r="AO111" s="271">
        <f>+K111*10000</f>
        <v>50000</v>
      </c>
      <c r="AP111" s="1">
        <f>+G111*10000-AA111</f>
        <v>80460.55</v>
      </c>
    </row>
    <row r="112" s="1" customFormat="1" ht="21" customHeight="1" spans="1:42">
      <c r="A112" s="27"/>
      <c r="B112" s="12"/>
      <c r="C112" s="12"/>
      <c r="D112" s="28"/>
      <c r="E112" s="14"/>
      <c r="F112" s="12"/>
      <c r="G112" s="29"/>
      <c r="H112" s="29"/>
      <c r="I112" s="29"/>
      <c r="J112" s="29"/>
      <c r="K112" s="29"/>
      <c r="L112" s="12"/>
      <c r="M112" s="12"/>
      <c r="N112" s="30"/>
      <c r="O112" s="17"/>
      <c r="P112" s="31"/>
      <c r="Q112" s="19"/>
      <c r="R112" s="20"/>
      <c r="S112" s="21"/>
      <c r="T112" s="27"/>
      <c r="U112" s="27"/>
      <c r="V112" s="27"/>
      <c r="W112" s="27"/>
      <c r="X112" s="33"/>
      <c r="Y112" s="33"/>
      <c r="Z112" s="32"/>
      <c r="AA112" s="32"/>
      <c r="AB112" s="33"/>
      <c r="AC112" s="24"/>
      <c r="AD112" s="272">
        <v>266230</v>
      </c>
      <c r="AE112" s="273">
        <f>+(+AD111+AD112)/AA111</f>
        <v>0.669999400310852</v>
      </c>
      <c r="AF112" s="274">
        <v>45834</v>
      </c>
      <c r="AG112" s="272"/>
      <c r="AH112" s="272">
        <f>+H111*10000-AH111</f>
        <v>234139</v>
      </c>
      <c r="AI112" s="272"/>
      <c r="AJ112" s="272">
        <f>+AD112-AH112</f>
        <v>32091</v>
      </c>
      <c r="AK112" s="272"/>
      <c r="AL112" s="275"/>
      <c r="AM112" s="275"/>
      <c r="AN112" s="275"/>
      <c r="AO112" s="276"/>
    </row>
    <row r="113" s="1" customFormat="1" ht="21" customHeight="1" spans="1:42">
      <c r="A113" s="27"/>
      <c r="B113" s="12"/>
      <c r="C113" s="12"/>
      <c r="D113" s="28"/>
      <c r="E113" s="14"/>
      <c r="F113" s="12"/>
      <c r="G113" s="29"/>
      <c r="H113" s="29"/>
      <c r="I113" s="29"/>
      <c r="J113" s="29"/>
      <c r="K113" s="29"/>
      <c r="L113" s="12"/>
      <c r="M113" s="12"/>
      <c r="N113" s="30"/>
      <c r="O113" s="17"/>
      <c r="P113" s="31"/>
      <c r="Q113" s="19"/>
      <c r="R113" s="20"/>
      <c r="S113" s="21"/>
      <c r="T113" s="27"/>
      <c r="U113" s="27"/>
      <c r="V113" s="27"/>
      <c r="W113" s="27"/>
      <c r="X113" s="33"/>
      <c r="Y113" s="33"/>
      <c r="Z113" s="32"/>
      <c r="AA113" s="32"/>
      <c r="AB113" s="33"/>
      <c r="AC113" s="24"/>
      <c r="AD113" s="277">
        <v>79149</v>
      </c>
      <c r="AE113" s="278">
        <f>+(AD113+AD112+AD111)/AA111</f>
        <v>0.779998928481267</v>
      </c>
      <c r="AF113" s="279">
        <v>45869</v>
      </c>
      <c r="AG113" s="277"/>
      <c r="AH113" s="277">
        <v>50000</v>
      </c>
      <c r="AI113" s="277">
        <v>29149</v>
      </c>
      <c r="AJ113" s="277">
        <f>29149-AI113</f>
        <v>0</v>
      </c>
      <c r="AK113" s="277">
        <f>50000-AH113</f>
        <v>0</v>
      </c>
      <c r="AL113" s="277"/>
      <c r="AM113" s="277"/>
      <c r="AN113" s="277">
        <f>-AI113</f>
        <v>-29149</v>
      </c>
      <c r="AO113" s="280">
        <f>-AH113</f>
        <v>-50000</v>
      </c>
    </row>
    <row r="114" s="1" customFormat="1" ht="21" customHeight="1" spans="1:42">
      <c r="A114" s="34"/>
      <c r="B114" s="12"/>
      <c r="C114" s="12"/>
      <c r="D114" s="35"/>
      <c r="E114" s="14"/>
      <c r="F114" s="12"/>
      <c r="G114" s="36"/>
      <c r="H114" s="36"/>
      <c r="I114" s="36"/>
      <c r="J114" s="36"/>
      <c r="K114" s="36"/>
      <c r="L114" s="12"/>
      <c r="M114" s="12"/>
      <c r="N114" s="30"/>
      <c r="O114" s="17"/>
      <c r="P114" s="31"/>
      <c r="Q114" s="19"/>
      <c r="R114" s="20"/>
      <c r="S114" s="21"/>
      <c r="T114" s="34"/>
      <c r="U114" s="34"/>
      <c r="V114" s="34"/>
      <c r="W114" s="34"/>
      <c r="X114" s="38"/>
      <c r="Y114" s="38"/>
      <c r="Z114" s="37"/>
      <c r="AA114" s="37"/>
      <c r="AB114" s="38"/>
      <c r="AC114" s="24"/>
      <c r="AD114" s="281"/>
      <c r="AE114" s="282"/>
      <c r="AF114" s="281"/>
      <c r="AG114" s="281"/>
      <c r="AH114" s="281"/>
      <c r="AI114" s="281"/>
      <c r="AJ114" s="281"/>
      <c r="AK114" s="281"/>
      <c r="AL114" s="281"/>
      <c r="AM114" s="281"/>
      <c r="AN114" s="281">
        <f>+AP111</f>
        <v>80460.55</v>
      </c>
      <c r="AO114" s="283"/>
    </row>
    <row r="115" s="1" customFormat="1" ht="21" customHeight="1" spans="1:42">
      <c r="A115" s="284">
        <v>28</v>
      </c>
      <c r="B115" s="285" t="s">
        <v>42</v>
      </c>
      <c r="C115" s="285" t="s">
        <v>43</v>
      </c>
      <c r="D115" s="286" t="s">
        <v>106</v>
      </c>
      <c r="E115" s="14" t="s">
        <v>45</v>
      </c>
      <c r="F115" s="12" t="s">
        <v>107</v>
      </c>
      <c r="G115" s="15">
        <v>80</v>
      </c>
      <c r="H115" s="15">
        <v>45</v>
      </c>
      <c r="I115" s="15"/>
      <c r="J115" s="15">
        <v>30</v>
      </c>
      <c r="K115" s="15">
        <v>5</v>
      </c>
      <c r="L115" s="12" t="s">
        <v>47</v>
      </c>
      <c r="M115" s="12" t="str">
        <f>F115</f>
        <v>张潘镇盆李南村</v>
      </c>
      <c r="N115" s="30" t="s">
        <v>108</v>
      </c>
      <c r="O115" s="17">
        <v>45809</v>
      </c>
      <c r="P115" s="31" t="s">
        <v>49</v>
      </c>
      <c r="Q115" s="19" t="s">
        <v>50</v>
      </c>
      <c r="R115" s="20" t="s">
        <v>51</v>
      </c>
      <c r="S115" s="21"/>
      <c r="T115" s="11">
        <f>+H115+AH117/10000</f>
        <v>50</v>
      </c>
      <c r="U115" s="11">
        <f>+I115+AI117/10000</f>
        <v>2.9149</v>
      </c>
      <c r="V115" s="11">
        <f>+J115-U115</f>
        <v>27.0851</v>
      </c>
      <c r="W115" s="11">
        <f>+K115-AH117/10000</f>
        <v>0</v>
      </c>
      <c r="X115" s="23">
        <v>743083.25</v>
      </c>
      <c r="Y115" s="23">
        <v>743083.25</v>
      </c>
      <c r="Z115" s="22">
        <v>719539.45</v>
      </c>
      <c r="AA115" s="22">
        <v>719539.45</v>
      </c>
      <c r="AB115" s="23"/>
      <c r="AC115" s="24"/>
      <c r="AD115" s="268">
        <v>215861</v>
      </c>
      <c r="AE115" s="269">
        <f>+AD115/AA115</f>
        <v>0.299998839535483</v>
      </c>
      <c r="AF115" s="270">
        <v>45834</v>
      </c>
      <c r="AG115" s="268"/>
      <c r="AH115" s="268">
        <f>+AD115</f>
        <v>215861</v>
      </c>
      <c r="AI115" s="268"/>
      <c r="AJ115" s="268"/>
      <c r="AK115" s="268"/>
      <c r="AL115" s="268"/>
      <c r="AM115" s="268"/>
      <c r="AN115" s="268">
        <f>+G115*10000-AA115-AO115</f>
        <v>30460.55</v>
      </c>
      <c r="AO115" s="271">
        <f>+K115*10000</f>
        <v>50000</v>
      </c>
      <c r="AP115" s="1">
        <f>+G115*10000-AA115</f>
        <v>80460.55</v>
      </c>
    </row>
    <row r="116" s="1" customFormat="1" ht="21" customHeight="1" spans="1:42">
      <c r="A116" s="287"/>
      <c r="B116" s="285"/>
      <c r="C116" s="285"/>
      <c r="D116" s="288"/>
      <c r="E116" s="14"/>
      <c r="F116" s="12"/>
      <c r="G116" s="29"/>
      <c r="H116" s="29"/>
      <c r="I116" s="29"/>
      <c r="J116" s="29"/>
      <c r="K116" s="29"/>
      <c r="L116" s="12"/>
      <c r="M116" s="12"/>
      <c r="N116" s="30"/>
      <c r="O116" s="17"/>
      <c r="P116" s="31"/>
      <c r="Q116" s="19"/>
      <c r="R116" s="20"/>
      <c r="S116" s="21"/>
      <c r="T116" s="27"/>
      <c r="U116" s="27"/>
      <c r="V116" s="27"/>
      <c r="W116" s="27"/>
      <c r="X116" s="33"/>
      <c r="Y116" s="33"/>
      <c r="Z116" s="32"/>
      <c r="AA116" s="32"/>
      <c r="AB116" s="33"/>
      <c r="AC116" s="24"/>
      <c r="AD116" s="272">
        <v>266230</v>
      </c>
      <c r="AE116" s="273">
        <f>+(+AD115+AD116)/AA115</f>
        <v>0.669999400310852</v>
      </c>
      <c r="AF116" s="274">
        <v>45834</v>
      </c>
      <c r="AG116" s="272"/>
      <c r="AH116" s="272">
        <f>+H115*10000-AH115</f>
        <v>234139</v>
      </c>
      <c r="AI116" s="272"/>
      <c r="AJ116" s="272">
        <f>+AD116-AH116</f>
        <v>32091</v>
      </c>
      <c r="AK116" s="272"/>
      <c r="AL116" s="275"/>
      <c r="AM116" s="275"/>
      <c r="AN116" s="275"/>
      <c r="AO116" s="276"/>
    </row>
    <row r="117" s="1" customFormat="1" ht="21" customHeight="1" spans="1:42">
      <c r="A117" s="287"/>
      <c r="B117" s="285"/>
      <c r="C117" s="285"/>
      <c r="D117" s="288"/>
      <c r="E117" s="14"/>
      <c r="F117" s="12"/>
      <c r="G117" s="29"/>
      <c r="H117" s="29"/>
      <c r="I117" s="29"/>
      <c r="J117" s="29"/>
      <c r="K117" s="29"/>
      <c r="L117" s="12"/>
      <c r="M117" s="12"/>
      <c r="N117" s="30"/>
      <c r="O117" s="17"/>
      <c r="P117" s="31"/>
      <c r="Q117" s="19"/>
      <c r="R117" s="20"/>
      <c r="S117" s="21"/>
      <c r="T117" s="27"/>
      <c r="U117" s="27"/>
      <c r="V117" s="27"/>
      <c r="W117" s="27"/>
      <c r="X117" s="33"/>
      <c r="Y117" s="33"/>
      <c r="Z117" s="32"/>
      <c r="AA117" s="32"/>
      <c r="AB117" s="33"/>
      <c r="AC117" s="24"/>
      <c r="AD117" s="277">
        <v>79149</v>
      </c>
      <c r="AE117" s="278">
        <f>+(AD117+AD116+AD115)/AA115</f>
        <v>0.779998928481267</v>
      </c>
      <c r="AF117" s="279">
        <v>45869</v>
      </c>
      <c r="AG117" s="277"/>
      <c r="AH117" s="277">
        <v>50000</v>
      </c>
      <c r="AI117" s="277">
        <v>29149</v>
      </c>
      <c r="AJ117" s="277">
        <f>29149-AI117</f>
        <v>0</v>
      </c>
      <c r="AK117" s="277">
        <f>50000-AH117</f>
        <v>0</v>
      </c>
      <c r="AL117" s="277"/>
      <c r="AM117" s="277"/>
      <c r="AN117" s="277">
        <f>-AI117</f>
        <v>-29149</v>
      </c>
      <c r="AO117" s="280">
        <f>-AH117</f>
        <v>-50000</v>
      </c>
    </row>
    <row r="118" s="1" customFormat="1" ht="21" customHeight="1" spans="1:42">
      <c r="A118" s="289"/>
      <c r="B118" s="285"/>
      <c r="C118" s="285"/>
      <c r="D118" s="290"/>
      <c r="E118" s="14"/>
      <c r="F118" s="12"/>
      <c r="G118" s="36"/>
      <c r="H118" s="36"/>
      <c r="I118" s="36"/>
      <c r="J118" s="36"/>
      <c r="K118" s="36"/>
      <c r="L118" s="12"/>
      <c r="M118" s="12"/>
      <c r="N118" s="30"/>
      <c r="O118" s="17"/>
      <c r="P118" s="31"/>
      <c r="Q118" s="19"/>
      <c r="R118" s="20"/>
      <c r="S118" s="21"/>
      <c r="T118" s="34"/>
      <c r="U118" s="34"/>
      <c r="V118" s="34"/>
      <c r="W118" s="34"/>
      <c r="X118" s="38"/>
      <c r="Y118" s="38"/>
      <c r="Z118" s="37"/>
      <c r="AA118" s="37"/>
      <c r="AB118" s="38"/>
      <c r="AC118" s="24"/>
      <c r="AD118" s="281"/>
      <c r="AE118" s="282"/>
      <c r="AF118" s="281"/>
      <c r="AG118" s="281"/>
      <c r="AH118" s="281"/>
      <c r="AI118" s="281"/>
      <c r="AJ118" s="281"/>
      <c r="AK118" s="281"/>
      <c r="AL118" s="281"/>
      <c r="AM118" s="281"/>
      <c r="AN118" s="281">
        <f>+AP115</f>
        <v>80460.55</v>
      </c>
      <c r="AO118" s="283"/>
    </row>
    <row r="119" s="1" customFormat="1" ht="21" customHeight="1" spans="1:42">
      <c r="A119" s="284">
        <v>29</v>
      </c>
      <c r="B119" s="285" t="s">
        <v>42</v>
      </c>
      <c r="C119" s="285" t="s">
        <v>43</v>
      </c>
      <c r="D119" s="286" t="s">
        <v>109</v>
      </c>
      <c r="E119" s="14" t="s">
        <v>45</v>
      </c>
      <c r="F119" s="12" t="s">
        <v>110</v>
      </c>
      <c r="G119" s="15">
        <v>80</v>
      </c>
      <c r="H119" s="15">
        <v>45</v>
      </c>
      <c r="I119" s="15"/>
      <c r="J119" s="15">
        <v>30</v>
      </c>
      <c r="K119" s="15">
        <v>5</v>
      </c>
      <c r="L119" s="12" t="s">
        <v>47</v>
      </c>
      <c r="M119" s="12" t="str">
        <f>F119</f>
        <v>张潘镇门道张村</v>
      </c>
      <c r="N119" s="30" t="s">
        <v>108</v>
      </c>
      <c r="O119" s="17">
        <v>45809</v>
      </c>
      <c r="P119" s="31" t="s">
        <v>49</v>
      </c>
      <c r="Q119" s="19" t="s">
        <v>50</v>
      </c>
      <c r="R119" s="20" t="s">
        <v>51</v>
      </c>
      <c r="S119" s="21"/>
      <c r="T119" s="11">
        <f>+H119+AH121/10000</f>
        <v>50</v>
      </c>
      <c r="U119" s="11">
        <f>+I119+AI121/10000</f>
        <v>2.9772</v>
      </c>
      <c r="V119" s="11">
        <f>+J119-U119</f>
        <v>27.0228</v>
      </c>
      <c r="W119" s="11">
        <f>+K119-AH121/10000</f>
        <v>0</v>
      </c>
      <c r="X119" s="23">
        <v>745184.36</v>
      </c>
      <c r="Y119" s="23">
        <v>745184.36</v>
      </c>
      <c r="Z119" s="22">
        <v>725193.97</v>
      </c>
      <c r="AA119" s="22">
        <v>725193.97</v>
      </c>
      <c r="AB119" s="23"/>
      <c r="AC119" s="24"/>
      <c r="AD119" s="268">
        <v>217558</v>
      </c>
      <c r="AE119" s="269">
        <f>+AD119/AA119</f>
        <v>0.29999973662219</v>
      </c>
      <c r="AF119" s="270">
        <v>45834</v>
      </c>
      <c r="AG119" s="268"/>
      <c r="AH119" s="268">
        <f>+AD119</f>
        <v>217558</v>
      </c>
      <c r="AI119" s="268"/>
      <c r="AJ119" s="268"/>
      <c r="AK119" s="268"/>
      <c r="AL119" s="268"/>
      <c r="AM119" s="268"/>
      <c r="AN119" s="268">
        <f>+G119*10000-AA119-AO119</f>
        <v>24806.03</v>
      </c>
      <c r="AO119" s="271">
        <f>+K119*10000</f>
        <v>50000</v>
      </c>
      <c r="AP119" s="1">
        <f>+G119*10000-AA119</f>
        <v>74806.03</v>
      </c>
    </row>
    <row r="120" s="1" customFormat="1" ht="21" customHeight="1" spans="1:42">
      <c r="A120" s="287"/>
      <c r="B120" s="285"/>
      <c r="C120" s="285"/>
      <c r="D120" s="288"/>
      <c r="E120" s="14"/>
      <c r="F120" s="12"/>
      <c r="G120" s="29"/>
      <c r="H120" s="29"/>
      <c r="I120" s="29"/>
      <c r="J120" s="29"/>
      <c r="K120" s="29"/>
      <c r="L120" s="12"/>
      <c r="M120" s="12"/>
      <c r="N120" s="30"/>
      <c r="O120" s="17"/>
      <c r="P120" s="31"/>
      <c r="Q120" s="19"/>
      <c r="R120" s="20"/>
      <c r="S120" s="21"/>
      <c r="T120" s="27"/>
      <c r="U120" s="27"/>
      <c r="V120" s="27"/>
      <c r="W120" s="27"/>
      <c r="X120" s="33"/>
      <c r="Y120" s="33"/>
      <c r="Z120" s="32"/>
      <c r="AA120" s="32"/>
      <c r="AB120" s="33"/>
      <c r="AC120" s="24"/>
      <c r="AD120" s="272">
        <v>268321</v>
      </c>
      <c r="AE120" s="273">
        <f>+(+AD119+AD120)/AA119</f>
        <v>0.669998676354135</v>
      </c>
      <c r="AF120" s="274">
        <v>45834</v>
      </c>
      <c r="AG120" s="272"/>
      <c r="AH120" s="272">
        <f>+H119*10000-AH119</f>
        <v>232442</v>
      </c>
      <c r="AI120" s="272"/>
      <c r="AJ120" s="272">
        <f>+AD120-AH120</f>
        <v>35879</v>
      </c>
      <c r="AK120" s="272"/>
      <c r="AL120" s="275"/>
      <c r="AM120" s="275"/>
      <c r="AN120" s="275"/>
      <c r="AO120" s="276"/>
    </row>
    <row r="121" s="1" customFormat="1" ht="21" customHeight="1" spans="1:42">
      <c r="A121" s="287"/>
      <c r="B121" s="285"/>
      <c r="C121" s="285"/>
      <c r="D121" s="288"/>
      <c r="E121" s="14"/>
      <c r="F121" s="12"/>
      <c r="G121" s="29"/>
      <c r="H121" s="29"/>
      <c r="I121" s="29"/>
      <c r="J121" s="29"/>
      <c r="K121" s="29"/>
      <c r="L121" s="12"/>
      <c r="M121" s="12"/>
      <c r="N121" s="30"/>
      <c r="O121" s="17"/>
      <c r="P121" s="31"/>
      <c r="Q121" s="19"/>
      <c r="R121" s="20"/>
      <c r="S121" s="21"/>
      <c r="T121" s="27"/>
      <c r="U121" s="27"/>
      <c r="V121" s="27"/>
      <c r="W121" s="27"/>
      <c r="X121" s="33"/>
      <c r="Y121" s="33"/>
      <c r="Z121" s="32"/>
      <c r="AA121" s="32"/>
      <c r="AB121" s="33"/>
      <c r="AC121" s="24"/>
      <c r="AD121" s="277">
        <v>79772</v>
      </c>
      <c r="AE121" s="278">
        <f>+(AD121+AD120+AD119)/AA119</f>
        <v>0.779999591005976</v>
      </c>
      <c r="AF121" s="279">
        <v>45869</v>
      </c>
      <c r="AG121" s="277"/>
      <c r="AH121" s="277">
        <v>50000</v>
      </c>
      <c r="AI121" s="277">
        <v>29772</v>
      </c>
      <c r="AJ121" s="277">
        <f>29772-AI121</f>
        <v>0</v>
      </c>
      <c r="AK121" s="277">
        <f>50000-AH121</f>
        <v>0</v>
      </c>
      <c r="AL121" s="277"/>
      <c r="AM121" s="277"/>
      <c r="AN121" s="277">
        <f>-AI121</f>
        <v>-29772</v>
      </c>
      <c r="AO121" s="280">
        <f>-AH121</f>
        <v>-50000</v>
      </c>
    </row>
    <row r="122" s="1" customFormat="1" ht="21" customHeight="1" spans="1:42">
      <c r="A122" s="289"/>
      <c r="B122" s="285"/>
      <c r="C122" s="285"/>
      <c r="D122" s="290"/>
      <c r="E122" s="14"/>
      <c r="F122" s="12"/>
      <c r="G122" s="36"/>
      <c r="H122" s="36"/>
      <c r="I122" s="36"/>
      <c r="J122" s="36"/>
      <c r="K122" s="36"/>
      <c r="L122" s="12"/>
      <c r="M122" s="12"/>
      <c r="N122" s="30"/>
      <c r="O122" s="17"/>
      <c r="P122" s="31"/>
      <c r="Q122" s="19"/>
      <c r="R122" s="20"/>
      <c r="S122" s="21"/>
      <c r="T122" s="34"/>
      <c r="U122" s="34"/>
      <c r="V122" s="34"/>
      <c r="W122" s="34"/>
      <c r="X122" s="38"/>
      <c r="Y122" s="38"/>
      <c r="Z122" s="37"/>
      <c r="AA122" s="37"/>
      <c r="AB122" s="38"/>
      <c r="AC122" s="24"/>
      <c r="AD122" s="281"/>
      <c r="AE122" s="282"/>
      <c r="AF122" s="281"/>
      <c r="AG122" s="281"/>
      <c r="AH122" s="281"/>
      <c r="AI122" s="281"/>
      <c r="AJ122" s="281"/>
      <c r="AK122" s="281"/>
      <c r="AL122" s="281"/>
      <c r="AM122" s="281"/>
      <c r="AN122" s="281">
        <f>+AP119</f>
        <v>74806.03</v>
      </c>
      <c r="AO122" s="283"/>
    </row>
    <row r="123" s="1" customFormat="1" ht="21" customHeight="1" spans="1:42">
      <c r="A123" s="11">
        <v>30</v>
      </c>
      <c r="B123" s="12" t="s">
        <v>42</v>
      </c>
      <c r="C123" s="12" t="s">
        <v>43</v>
      </c>
      <c r="D123" s="13" t="s">
        <v>111</v>
      </c>
      <c r="E123" s="14" t="s">
        <v>45</v>
      </c>
      <c r="F123" s="12" t="s">
        <v>112</v>
      </c>
      <c r="G123" s="15">
        <v>80</v>
      </c>
      <c r="H123" s="15">
        <v>45</v>
      </c>
      <c r="I123" s="15"/>
      <c r="J123" s="15">
        <v>30</v>
      </c>
      <c r="K123" s="15">
        <v>5</v>
      </c>
      <c r="L123" s="12" t="s">
        <v>47</v>
      </c>
      <c r="M123" s="12" t="str">
        <f>F123</f>
        <v>张潘镇杨寺村</v>
      </c>
      <c r="N123" s="30" t="s">
        <v>108</v>
      </c>
      <c r="O123" s="17">
        <v>45809</v>
      </c>
      <c r="P123" s="31" t="s">
        <v>49</v>
      </c>
      <c r="Q123" s="19" t="s">
        <v>50</v>
      </c>
      <c r="R123" s="20" t="s">
        <v>51</v>
      </c>
      <c r="S123" s="21"/>
      <c r="T123" s="11">
        <f>+H123+AH125/10000</f>
        <v>50</v>
      </c>
      <c r="U123" s="11">
        <f>+I123+AI125/10000</f>
        <v>2.9772</v>
      </c>
      <c r="V123" s="11">
        <f>+J123-U123</f>
        <v>27.0228</v>
      </c>
      <c r="W123" s="11">
        <f>+K123-AH125/10000</f>
        <v>0</v>
      </c>
      <c r="X123" s="23">
        <v>745184.36</v>
      </c>
      <c r="Y123" s="23">
        <v>745184.36</v>
      </c>
      <c r="Z123" s="22">
        <v>725193.97</v>
      </c>
      <c r="AA123" s="22">
        <v>725193.97</v>
      </c>
      <c r="AB123" s="23"/>
      <c r="AC123" s="24"/>
      <c r="AD123" s="268">
        <v>217558</v>
      </c>
      <c r="AE123" s="269">
        <f>+AD123/AA123</f>
        <v>0.29999973662219</v>
      </c>
      <c r="AF123" s="270">
        <v>45834</v>
      </c>
      <c r="AG123" s="268"/>
      <c r="AH123" s="268">
        <f>+AD123</f>
        <v>217558</v>
      </c>
      <c r="AI123" s="268"/>
      <c r="AJ123" s="268"/>
      <c r="AK123" s="268"/>
      <c r="AL123" s="268"/>
      <c r="AM123" s="268"/>
      <c r="AN123" s="268">
        <f>+G123*10000-AA123-AO123</f>
        <v>24806.03</v>
      </c>
      <c r="AO123" s="271">
        <f>+K123*10000</f>
        <v>50000</v>
      </c>
      <c r="AP123" s="1">
        <f>+G123*10000-AA123</f>
        <v>74806.03</v>
      </c>
    </row>
    <row r="124" s="1" customFormat="1" ht="21" customHeight="1" spans="1:42">
      <c r="A124" s="27"/>
      <c r="B124" s="12"/>
      <c r="C124" s="12"/>
      <c r="D124" s="28"/>
      <c r="E124" s="14"/>
      <c r="F124" s="12"/>
      <c r="G124" s="29"/>
      <c r="H124" s="29"/>
      <c r="I124" s="29"/>
      <c r="J124" s="29"/>
      <c r="K124" s="29"/>
      <c r="L124" s="12"/>
      <c r="M124" s="12"/>
      <c r="N124" s="30"/>
      <c r="O124" s="17"/>
      <c r="P124" s="31"/>
      <c r="Q124" s="19"/>
      <c r="R124" s="20"/>
      <c r="S124" s="21"/>
      <c r="T124" s="27"/>
      <c r="U124" s="27"/>
      <c r="V124" s="27"/>
      <c r="W124" s="27"/>
      <c r="X124" s="33"/>
      <c r="Y124" s="33"/>
      <c r="Z124" s="32"/>
      <c r="AA124" s="32"/>
      <c r="AB124" s="33"/>
      <c r="AC124" s="24"/>
      <c r="AD124" s="272">
        <v>268321</v>
      </c>
      <c r="AE124" s="273">
        <f>+(+AD123+AD124)/AA123</f>
        <v>0.669998676354135</v>
      </c>
      <c r="AF124" s="274">
        <v>45834</v>
      </c>
      <c r="AG124" s="272"/>
      <c r="AH124" s="272">
        <f>+H123*10000-AH123</f>
        <v>232442</v>
      </c>
      <c r="AI124" s="272"/>
      <c r="AJ124" s="272">
        <f>+AD124-AH124</f>
        <v>35879</v>
      </c>
      <c r="AK124" s="272"/>
      <c r="AL124" s="275"/>
      <c r="AM124" s="275"/>
      <c r="AN124" s="275"/>
      <c r="AO124" s="276"/>
    </row>
    <row r="125" s="1" customFormat="1" ht="21" customHeight="1" spans="1:42">
      <c r="A125" s="27"/>
      <c r="B125" s="12"/>
      <c r="C125" s="12"/>
      <c r="D125" s="28"/>
      <c r="E125" s="14"/>
      <c r="F125" s="12"/>
      <c r="G125" s="29"/>
      <c r="H125" s="29"/>
      <c r="I125" s="29"/>
      <c r="J125" s="29"/>
      <c r="K125" s="29"/>
      <c r="L125" s="12"/>
      <c r="M125" s="12"/>
      <c r="N125" s="30"/>
      <c r="O125" s="17"/>
      <c r="P125" s="31"/>
      <c r="Q125" s="19"/>
      <c r="R125" s="20"/>
      <c r="S125" s="21"/>
      <c r="T125" s="27"/>
      <c r="U125" s="27"/>
      <c r="V125" s="27"/>
      <c r="W125" s="27"/>
      <c r="X125" s="33"/>
      <c r="Y125" s="33"/>
      <c r="Z125" s="32"/>
      <c r="AA125" s="32"/>
      <c r="AB125" s="33"/>
      <c r="AC125" s="24"/>
      <c r="AD125" s="277">
        <v>79772</v>
      </c>
      <c r="AE125" s="278">
        <f>+(AD125+AD124+AD123)/AA123</f>
        <v>0.779999591005976</v>
      </c>
      <c r="AF125" s="279">
        <v>45869</v>
      </c>
      <c r="AG125" s="277"/>
      <c r="AH125" s="277">
        <v>50000</v>
      </c>
      <c r="AI125" s="277">
        <v>29772</v>
      </c>
      <c r="AJ125" s="277">
        <f>29772-AI125</f>
        <v>0</v>
      </c>
      <c r="AK125" s="277">
        <f>50000-AH125</f>
        <v>0</v>
      </c>
      <c r="AL125" s="277"/>
      <c r="AM125" s="277"/>
      <c r="AN125" s="277">
        <f>-AI125</f>
        <v>-29772</v>
      </c>
      <c r="AO125" s="280">
        <f>-AH125</f>
        <v>-50000</v>
      </c>
    </row>
    <row r="126" s="1" customFormat="1" ht="21" customHeight="1" spans="1:42">
      <c r="A126" s="34"/>
      <c r="B126" s="12"/>
      <c r="C126" s="12"/>
      <c r="D126" s="35"/>
      <c r="E126" s="14"/>
      <c r="F126" s="12"/>
      <c r="G126" s="36"/>
      <c r="H126" s="36"/>
      <c r="I126" s="36"/>
      <c r="J126" s="36"/>
      <c r="K126" s="36"/>
      <c r="L126" s="12"/>
      <c r="M126" s="12"/>
      <c r="N126" s="30"/>
      <c r="O126" s="17"/>
      <c r="P126" s="31"/>
      <c r="Q126" s="19"/>
      <c r="R126" s="20"/>
      <c r="S126" s="21"/>
      <c r="T126" s="34"/>
      <c r="U126" s="34"/>
      <c r="V126" s="34"/>
      <c r="W126" s="34"/>
      <c r="X126" s="38"/>
      <c r="Y126" s="38"/>
      <c r="Z126" s="37"/>
      <c r="AA126" s="37"/>
      <c r="AB126" s="38"/>
      <c r="AC126" s="24"/>
      <c r="AD126" s="281"/>
      <c r="AE126" s="282"/>
      <c r="AF126" s="281"/>
      <c r="AG126" s="281"/>
      <c r="AH126" s="281"/>
      <c r="AI126" s="281"/>
      <c r="AJ126" s="281"/>
      <c r="AK126" s="281"/>
      <c r="AL126" s="281"/>
      <c r="AM126" s="281"/>
      <c r="AN126" s="281">
        <f>+AP123</f>
        <v>74806.03</v>
      </c>
      <c r="AO126" s="283"/>
    </row>
    <row r="127" s="1" customFormat="1" ht="21" customHeight="1" spans="1:42">
      <c r="A127" s="11">
        <v>31</v>
      </c>
      <c r="B127" s="12" t="s">
        <v>42</v>
      </c>
      <c r="C127" s="12" t="s">
        <v>43</v>
      </c>
      <c r="D127" s="13" t="s">
        <v>113</v>
      </c>
      <c r="E127" s="14" t="s">
        <v>45</v>
      </c>
      <c r="F127" s="12" t="s">
        <v>114</v>
      </c>
      <c r="G127" s="15">
        <v>80</v>
      </c>
      <c r="H127" s="15">
        <v>45</v>
      </c>
      <c r="I127" s="15"/>
      <c r="J127" s="15"/>
      <c r="K127" s="15">
        <v>35</v>
      </c>
      <c r="L127" s="12" t="s">
        <v>47</v>
      </c>
      <c r="M127" s="12" t="str">
        <f>F127</f>
        <v>张潘镇城角徐村</v>
      </c>
      <c r="N127" s="30" t="s">
        <v>108</v>
      </c>
      <c r="O127" s="17">
        <v>45809</v>
      </c>
      <c r="P127" s="31" t="s">
        <v>49</v>
      </c>
      <c r="Q127" s="19" t="s">
        <v>50</v>
      </c>
      <c r="R127" s="20" t="s">
        <v>51</v>
      </c>
      <c r="S127" s="21"/>
      <c r="T127" s="11">
        <f>+H127+AH129/10000</f>
        <v>52.9772</v>
      </c>
      <c r="U127" s="11">
        <f>+I127</f>
        <v>0</v>
      </c>
      <c r="V127" s="11">
        <f>+J127</f>
        <v>0</v>
      </c>
      <c r="W127" s="11">
        <f>+K127-AH129/10000</f>
        <v>27.0228</v>
      </c>
      <c r="X127" s="23">
        <v>745184.36</v>
      </c>
      <c r="Y127" s="23">
        <v>745184.36</v>
      </c>
      <c r="Z127" s="22">
        <v>725193.97</v>
      </c>
      <c r="AA127" s="22">
        <v>725193.97</v>
      </c>
      <c r="AB127" s="23"/>
      <c r="AC127" s="24"/>
      <c r="AD127" s="268">
        <v>217558</v>
      </c>
      <c r="AE127" s="269">
        <f>+AD127/AA127</f>
        <v>0.29999973662219</v>
      </c>
      <c r="AF127" s="270">
        <v>45834</v>
      </c>
      <c r="AG127" s="268"/>
      <c r="AH127" s="268">
        <f>+AD127</f>
        <v>217558</v>
      </c>
      <c r="AI127" s="268"/>
      <c r="AJ127" s="268"/>
      <c r="AK127" s="268"/>
      <c r="AL127" s="268"/>
      <c r="AM127" s="268"/>
      <c r="AN127" s="268"/>
      <c r="AO127" s="271">
        <f>+G127*10000-AA127</f>
        <v>74806.03</v>
      </c>
      <c r="AP127" s="1">
        <f>+G127*10000-AA127</f>
        <v>74806.03</v>
      </c>
    </row>
    <row r="128" s="1" customFormat="1" ht="21" customHeight="1" spans="1:42">
      <c r="A128" s="27"/>
      <c r="B128" s="12"/>
      <c r="C128" s="12"/>
      <c r="D128" s="28"/>
      <c r="E128" s="14"/>
      <c r="F128" s="12"/>
      <c r="G128" s="29"/>
      <c r="H128" s="29"/>
      <c r="I128" s="29"/>
      <c r="J128" s="29"/>
      <c r="K128" s="29"/>
      <c r="L128" s="12"/>
      <c r="M128" s="12"/>
      <c r="N128" s="30"/>
      <c r="O128" s="17"/>
      <c r="P128" s="31"/>
      <c r="Q128" s="19"/>
      <c r="R128" s="20"/>
      <c r="S128" s="21"/>
      <c r="T128" s="27"/>
      <c r="U128" s="27"/>
      <c r="V128" s="27"/>
      <c r="W128" s="27"/>
      <c r="X128" s="33"/>
      <c r="Y128" s="33"/>
      <c r="Z128" s="32"/>
      <c r="AA128" s="32"/>
      <c r="AB128" s="33"/>
      <c r="AC128" s="24"/>
      <c r="AD128" s="272">
        <v>268321</v>
      </c>
      <c r="AE128" s="273">
        <f>+(+AD127+AD128)/AA127</f>
        <v>0.669998676354135</v>
      </c>
      <c r="AF128" s="274">
        <v>45834</v>
      </c>
      <c r="AG128" s="272"/>
      <c r="AH128" s="272">
        <f>+H127*10000-AH127</f>
        <v>232442</v>
      </c>
      <c r="AI128" s="272"/>
      <c r="AJ128" s="272"/>
      <c r="AK128" s="272">
        <f>+AD128-AH128</f>
        <v>35879</v>
      </c>
      <c r="AL128" s="275"/>
      <c r="AM128" s="275"/>
      <c r="AN128" s="275"/>
      <c r="AO128" s="276"/>
    </row>
    <row r="129" s="1" customFormat="1" ht="21" customHeight="1" spans="1:42">
      <c r="A129" s="27"/>
      <c r="B129" s="12"/>
      <c r="C129" s="12"/>
      <c r="D129" s="28"/>
      <c r="E129" s="14"/>
      <c r="F129" s="12"/>
      <c r="G129" s="29"/>
      <c r="H129" s="29"/>
      <c r="I129" s="29"/>
      <c r="J129" s="29"/>
      <c r="K129" s="29"/>
      <c r="L129" s="12"/>
      <c r="M129" s="12"/>
      <c r="N129" s="30"/>
      <c r="O129" s="17"/>
      <c r="P129" s="31"/>
      <c r="Q129" s="19"/>
      <c r="R129" s="20"/>
      <c r="S129" s="21"/>
      <c r="T129" s="27"/>
      <c r="U129" s="27"/>
      <c r="V129" s="27"/>
      <c r="W129" s="27"/>
      <c r="X129" s="33"/>
      <c r="Y129" s="33"/>
      <c r="Z129" s="32"/>
      <c r="AA129" s="32"/>
      <c r="AB129" s="33"/>
      <c r="AC129" s="24"/>
      <c r="AD129" s="277">
        <v>79772</v>
      </c>
      <c r="AE129" s="278">
        <f>+(AD129+AD128+AD127)/AA127</f>
        <v>0.779999591005976</v>
      </c>
      <c r="AF129" s="279">
        <v>45869</v>
      </c>
      <c r="AG129" s="277"/>
      <c r="AH129" s="277">
        <v>79772</v>
      </c>
      <c r="AI129" s="277"/>
      <c r="AJ129" s="277"/>
      <c r="AK129" s="277">
        <f>79772-AH129</f>
        <v>0</v>
      </c>
      <c r="AL129" s="277"/>
      <c r="AM129" s="277"/>
      <c r="AN129" s="277"/>
      <c r="AO129" s="280">
        <f>-AH129</f>
        <v>-79772</v>
      </c>
    </row>
    <row r="130" s="1" customFormat="1" ht="21" customHeight="1" spans="1:42">
      <c r="A130" s="34"/>
      <c r="B130" s="12"/>
      <c r="C130" s="12"/>
      <c r="D130" s="35"/>
      <c r="E130" s="14"/>
      <c r="F130" s="12"/>
      <c r="G130" s="36"/>
      <c r="H130" s="36"/>
      <c r="I130" s="36"/>
      <c r="J130" s="36"/>
      <c r="K130" s="36"/>
      <c r="L130" s="12"/>
      <c r="M130" s="12"/>
      <c r="N130" s="30"/>
      <c r="O130" s="17"/>
      <c r="P130" s="31"/>
      <c r="Q130" s="19"/>
      <c r="R130" s="20"/>
      <c r="S130" s="21"/>
      <c r="T130" s="34"/>
      <c r="U130" s="34"/>
      <c r="V130" s="34"/>
      <c r="W130" s="34"/>
      <c r="X130" s="38"/>
      <c r="Y130" s="38"/>
      <c r="Z130" s="37"/>
      <c r="AA130" s="37"/>
      <c r="AB130" s="38"/>
      <c r="AC130" s="24"/>
      <c r="AD130" s="281"/>
      <c r="AE130" s="282"/>
      <c r="AF130" s="281"/>
      <c r="AG130" s="281"/>
      <c r="AH130" s="281"/>
      <c r="AI130" s="281"/>
      <c r="AJ130" s="281"/>
      <c r="AK130" s="281"/>
      <c r="AL130" s="281"/>
      <c r="AM130" s="281"/>
      <c r="AN130" s="281"/>
      <c r="AO130" s="283">
        <f>+AP127</f>
        <v>74806.03</v>
      </c>
    </row>
    <row r="131" s="1" customFormat="1" ht="21" customHeight="1" spans="1:42">
      <c r="A131" s="11">
        <v>32</v>
      </c>
      <c r="B131" s="12" t="s">
        <v>42</v>
      </c>
      <c r="C131" s="12" t="s">
        <v>43</v>
      </c>
      <c r="D131" s="13" t="s">
        <v>115</v>
      </c>
      <c r="E131" s="14" t="s">
        <v>45</v>
      </c>
      <c r="F131" s="12" t="s">
        <v>116</v>
      </c>
      <c r="G131" s="15">
        <v>80</v>
      </c>
      <c r="H131" s="15">
        <v>45</v>
      </c>
      <c r="I131" s="15"/>
      <c r="J131" s="15"/>
      <c r="K131" s="15">
        <v>35</v>
      </c>
      <c r="L131" s="12" t="s">
        <v>47</v>
      </c>
      <c r="M131" s="12" t="str">
        <f>F131</f>
        <v>张潘镇校尉张村</v>
      </c>
      <c r="N131" s="30" t="s">
        <v>108</v>
      </c>
      <c r="O131" s="17">
        <v>45809</v>
      </c>
      <c r="P131" s="31" t="s">
        <v>49</v>
      </c>
      <c r="Q131" s="19" t="s">
        <v>50</v>
      </c>
      <c r="R131" s="20" t="s">
        <v>51</v>
      </c>
      <c r="S131" s="21"/>
      <c r="T131" s="11">
        <f>+H131+AH133/10000</f>
        <v>52.9149</v>
      </c>
      <c r="U131" s="11">
        <f>+I131</f>
        <v>0</v>
      </c>
      <c r="V131" s="11">
        <f>+J131</f>
        <v>0</v>
      </c>
      <c r="W131" s="11">
        <f>+K131-AH133/10000</f>
        <v>27.0851</v>
      </c>
      <c r="X131" s="23">
        <v>743083.25</v>
      </c>
      <c r="Y131" s="23">
        <v>743083.25</v>
      </c>
      <c r="Z131" s="22">
        <v>719539.45</v>
      </c>
      <c r="AA131" s="22">
        <v>719539.45</v>
      </c>
      <c r="AB131" s="23"/>
      <c r="AC131" s="24"/>
      <c r="AD131" s="268">
        <v>215861</v>
      </c>
      <c r="AE131" s="269">
        <f>+AD131/AA131</f>
        <v>0.299998839535483</v>
      </c>
      <c r="AF131" s="270">
        <v>45834</v>
      </c>
      <c r="AG131" s="268"/>
      <c r="AH131" s="268">
        <f>+AD131</f>
        <v>215861</v>
      </c>
      <c r="AI131" s="268"/>
      <c r="AJ131" s="268"/>
      <c r="AK131" s="268"/>
      <c r="AL131" s="268"/>
      <c r="AM131" s="268"/>
      <c r="AN131" s="268"/>
      <c r="AO131" s="271">
        <f>+G131*10000-AA131</f>
        <v>80460.55</v>
      </c>
      <c r="AP131" s="1">
        <f>+G131*10000-AA131</f>
        <v>80460.55</v>
      </c>
    </row>
    <row r="132" s="1" customFormat="1" ht="21" customHeight="1" spans="1:42">
      <c r="A132" s="27"/>
      <c r="B132" s="12"/>
      <c r="C132" s="12"/>
      <c r="D132" s="28"/>
      <c r="E132" s="14"/>
      <c r="F132" s="12"/>
      <c r="G132" s="29"/>
      <c r="H132" s="29"/>
      <c r="I132" s="29"/>
      <c r="J132" s="29"/>
      <c r="K132" s="29"/>
      <c r="L132" s="12"/>
      <c r="M132" s="12"/>
      <c r="N132" s="30"/>
      <c r="O132" s="17"/>
      <c r="P132" s="31"/>
      <c r="Q132" s="19"/>
      <c r="R132" s="20"/>
      <c r="S132" s="21"/>
      <c r="T132" s="27"/>
      <c r="U132" s="27"/>
      <c r="V132" s="27"/>
      <c r="W132" s="27"/>
      <c r="X132" s="33"/>
      <c r="Y132" s="33"/>
      <c r="Z132" s="32"/>
      <c r="AA132" s="32"/>
      <c r="AB132" s="33"/>
      <c r="AC132" s="24"/>
      <c r="AD132" s="272">
        <v>266230</v>
      </c>
      <c r="AE132" s="273">
        <f>+(+AD131+AD132)/AA131</f>
        <v>0.669999400310852</v>
      </c>
      <c r="AF132" s="274">
        <v>45834</v>
      </c>
      <c r="AG132" s="272"/>
      <c r="AH132" s="272">
        <f>+H131*10000-AH131</f>
        <v>234139</v>
      </c>
      <c r="AI132" s="272"/>
      <c r="AJ132" s="272"/>
      <c r="AK132" s="272">
        <f>+AD132-AH132</f>
        <v>32091</v>
      </c>
      <c r="AL132" s="275"/>
      <c r="AM132" s="275"/>
      <c r="AN132" s="275"/>
      <c r="AO132" s="276"/>
    </row>
    <row r="133" s="1" customFormat="1" ht="21" customHeight="1" spans="1:42">
      <c r="A133" s="27"/>
      <c r="B133" s="12"/>
      <c r="C133" s="12"/>
      <c r="D133" s="28"/>
      <c r="E133" s="14"/>
      <c r="F133" s="12"/>
      <c r="G133" s="29"/>
      <c r="H133" s="29"/>
      <c r="I133" s="29"/>
      <c r="J133" s="29"/>
      <c r="K133" s="29"/>
      <c r="L133" s="12"/>
      <c r="M133" s="12"/>
      <c r="N133" s="30"/>
      <c r="O133" s="17"/>
      <c r="P133" s="31"/>
      <c r="Q133" s="19"/>
      <c r="R133" s="20"/>
      <c r="S133" s="21"/>
      <c r="T133" s="27"/>
      <c r="U133" s="27"/>
      <c r="V133" s="27"/>
      <c r="W133" s="27"/>
      <c r="X133" s="33"/>
      <c r="Y133" s="33"/>
      <c r="Z133" s="32"/>
      <c r="AA133" s="32"/>
      <c r="AB133" s="33"/>
      <c r="AC133" s="24"/>
      <c r="AD133" s="277">
        <v>79149</v>
      </c>
      <c r="AE133" s="278">
        <f>+(AD133+AD132+AD131)/AA131</f>
        <v>0.779998928481267</v>
      </c>
      <c r="AF133" s="279">
        <v>45869</v>
      </c>
      <c r="AG133" s="277"/>
      <c r="AH133" s="277">
        <v>79149</v>
      </c>
      <c r="AI133" s="277"/>
      <c r="AJ133" s="277"/>
      <c r="AK133" s="277">
        <f>79149-AH133</f>
        <v>0</v>
      </c>
      <c r="AL133" s="277"/>
      <c r="AM133" s="277"/>
      <c r="AN133" s="277"/>
      <c r="AO133" s="280">
        <f>-AH133</f>
        <v>-79149</v>
      </c>
    </row>
    <row r="134" s="1" customFormat="1" ht="21" customHeight="1" spans="1:42">
      <c r="A134" s="34"/>
      <c r="B134" s="12"/>
      <c r="C134" s="12"/>
      <c r="D134" s="35"/>
      <c r="E134" s="14"/>
      <c r="F134" s="12"/>
      <c r="G134" s="36"/>
      <c r="H134" s="36"/>
      <c r="I134" s="36"/>
      <c r="J134" s="36"/>
      <c r="K134" s="36"/>
      <c r="L134" s="12"/>
      <c r="M134" s="12"/>
      <c r="N134" s="30"/>
      <c r="O134" s="17"/>
      <c r="P134" s="31"/>
      <c r="Q134" s="19"/>
      <c r="R134" s="20"/>
      <c r="S134" s="21"/>
      <c r="T134" s="34"/>
      <c r="U134" s="34"/>
      <c r="V134" s="34"/>
      <c r="W134" s="34"/>
      <c r="X134" s="38"/>
      <c r="Y134" s="38"/>
      <c r="Z134" s="37"/>
      <c r="AA134" s="37"/>
      <c r="AB134" s="38"/>
      <c r="AC134" s="24"/>
      <c r="AD134" s="281"/>
      <c r="AE134" s="282"/>
      <c r="AF134" s="281"/>
      <c r="AG134" s="281"/>
      <c r="AH134" s="281"/>
      <c r="AI134" s="281"/>
      <c r="AJ134" s="281"/>
      <c r="AK134" s="281"/>
      <c r="AL134" s="281"/>
      <c r="AM134" s="281"/>
      <c r="AN134" s="281"/>
      <c r="AO134" s="283">
        <f>+AP131</f>
        <v>80460.55</v>
      </c>
    </row>
    <row r="135" s="1" customFormat="1" ht="21" customHeight="1" spans="1:42">
      <c r="A135" s="11">
        <v>33</v>
      </c>
      <c r="B135" s="12" t="s">
        <v>42</v>
      </c>
      <c r="C135" s="12" t="s">
        <v>43</v>
      </c>
      <c r="D135" s="13" t="s">
        <v>117</v>
      </c>
      <c r="E135" s="14" t="s">
        <v>45</v>
      </c>
      <c r="F135" s="12" t="s">
        <v>118</v>
      </c>
      <c r="G135" s="15">
        <v>80</v>
      </c>
      <c r="H135" s="15">
        <v>45</v>
      </c>
      <c r="I135" s="15"/>
      <c r="J135" s="15"/>
      <c r="K135" s="15">
        <v>35</v>
      </c>
      <c r="L135" s="12" t="s">
        <v>47</v>
      </c>
      <c r="M135" s="12" t="str">
        <f>F135</f>
        <v>张潘镇张四村</v>
      </c>
      <c r="N135" s="30" t="s">
        <v>108</v>
      </c>
      <c r="O135" s="17">
        <v>45809</v>
      </c>
      <c r="P135" s="31" t="s">
        <v>49</v>
      </c>
      <c r="Q135" s="19" t="s">
        <v>50</v>
      </c>
      <c r="R135" s="20" t="s">
        <v>51</v>
      </c>
      <c r="S135" s="21"/>
      <c r="T135" s="11">
        <f>+H135+AH137/10000</f>
        <v>52.9149</v>
      </c>
      <c r="U135" s="11">
        <f>+I135</f>
        <v>0</v>
      </c>
      <c r="V135" s="11">
        <f>+J135</f>
        <v>0</v>
      </c>
      <c r="W135" s="11">
        <f>+K135-AH137/10000</f>
        <v>27.0851</v>
      </c>
      <c r="X135" s="23">
        <v>743083.25</v>
      </c>
      <c r="Y135" s="23">
        <v>743083.25</v>
      </c>
      <c r="Z135" s="22">
        <v>719539.45</v>
      </c>
      <c r="AA135" s="22">
        <v>719539.45</v>
      </c>
      <c r="AB135" s="23"/>
      <c r="AC135" s="24"/>
      <c r="AD135" s="268">
        <v>215861</v>
      </c>
      <c r="AE135" s="269">
        <f>+AD135/AA135</f>
        <v>0.299998839535483</v>
      </c>
      <c r="AF135" s="270">
        <v>45834</v>
      </c>
      <c r="AG135" s="268"/>
      <c r="AH135" s="268">
        <f>+AD135</f>
        <v>215861</v>
      </c>
      <c r="AI135" s="268"/>
      <c r="AJ135" s="268"/>
      <c r="AK135" s="268"/>
      <c r="AL135" s="268"/>
      <c r="AM135" s="268"/>
      <c r="AN135" s="268"/>
      <c r="AO135" s="271">
        <f>+G135*10000-AA135</f>
        <v>80460.55</v>
      </c>
      <c r="AP135" s="1">
        <f>+G135*10000-AA135</f>
        <v>80460.55</v>
      </c>
    </row>
    <row r="136" s="1" customFormat="1" ht="21" customHeight="1" spans="1:42">
      <c r="A136" s="27"/>
      <c r="B136" s="12"/>
      <c r="C136" s="12"/>
      <c r="D136" s="28"/>
      <c r="E136" s="14"/>
      <c r="F136" s="12"/>
      <c r="G136" s="29"/>
      <c r="H136" s="29"/>
      <c r="I136" s="29"/>
      <c r="J136" s="29"/>
      <c r="K136" s="29"/>
      <c r="L136" s="12"/>
      <c r="M136" s="12"/>
      <c r="N136" s="30"/>
      <c r="O136" s="17"/>
      <c r="P136" s="31"/>
      <c r="Q136" s="19"/>
      <c r="R136" s="20"/>
      <c r="S136" s="21"/>
      <c r="T136" s="27"/>
      <c r="U136" s="27"/>
      <c r="V136" s="27"/>
      <c r="W136" s="27"/>
      <c r="X136" s="33"/>
      <c r="Y136" s="33"/>
      <c r="Z136" s="32"/>
      <c r="AA136" s="32"/>
      <c r="AB136" s="33"/>
      <c r="AC136" s="24"/>
      <c r="AD136" s="272">
        <v>266230</v>
      </c>
      <c r="AE136" s="273">
        <f>+(+AD135+AD136)/AA135</f>
        <v>0.669999400310852</v>
      </c>
      <c r="AF136" s="274">
        <v>45834</v>
      </c>
      <c r="AG136" s="272"/>
      <c r="AH136" s="272">
        <f>+H135*10000-AH135</f>
        <v>234139</v>
      </c>
      <c r="AI136" s="272"/>
      <c r="AJ136" s="272"/>
      <c r="AK136" s="272">
        <f>+AD136-AH136</f>
        <v>32091</v>
      </c>
      <c r="AL136" s="275"/>
      <c r="AM136" s="275"/>
      <c r="AN136" s="275"/>
      <c r="AO136" s="276"/>
    </row>
    <row r="137" s="1" customFormat="1" ht="21" customHeight="1" spans="1:42">
      <c r="A137" s="27"/>
      <c r="B137" s="12"/>
      <c r="C137" s="12"/>
      <c r="D137" s="28"/>
      <c r="E137" s="14"/>
      <c r="F137" s="12"/>
      <c r="G137" s="29"/>
      <c r="H137" s="29"/>
      <c r="I137" s="29"/>
      <c r="J137" s="29"/>
      <c r="K137" s="29"/>
      <c r="L137" s="12"/>
      <c r="M137" s="12"/>
      <c r="N137" s="30"/>
      <c r="O137" s="17"/>
      <c r="P137" s="31"/>
      <c r="Q137" s="19"/>
      <c r="R137" s="20"/>
      <c r="S137" s="21"/>
      <c r="T137" s="27"/>
      <c r="U137" s="27"/>
      <c r="V137" s="27"/>
      <c r="W137" s="27"/>
      <c r="X137" s="33"/>
      <c r="Y137" s="33"/>
      <c r="Z137" s="32"/>
      <c r="AA137" s="32"/>
      <c r="AB137" s="33"/>
      <c r="AC137" s="24"/>
      <c r="AD137" s="277">
        <v>79149</v>
      </c>
      <c r="AE137" s="278">
        <f>+(AD137+AD136+AD135)/AA135</f>
        <v>0.779998928481267</v>
      </c>
      <c r="AF137" s="279">
        <v>45869</v>
      </c>
      <c r="AG137" s="277"/>
      <c r="AH137" s="277">
        <v>79149</v>
      </c>
      <c r="AI137" s="277"/>
      <c r="AJ137" s="277"/>
      <c r="AK137" s="277">
        <f>79149-AH137</f>
        <v>0</v>
      </c>
      <c r="AL137" s="277"/>
      <c r="AM137" s="277"/>
      <c r="AN137" s="277"/>
      <c r="AO137" s="280">
        <f>-AH137</f>
        <v>-79149</v>
      </c>
    </row>
    <row r="138" s="1" customFormat="1" ht="21" customHeight="1" spans="1:42">
      <c r="A138" s="34"/>
      <c r="B138" s="12"/>
      <c r="C138" s="12"/>
      <c r="D138" s="35"/>
      <c r="E138" s="14"/>
      <c r="F138" s="12"/>
      <c r="G138" s="36"/>
      <c r="H138" s="36"/>
      <c r="I138" s="36"/>
      <c r="J138" s="36"/>
      <c r="K138" s="36"/>
      <c r="L138" s="12"/>
      <c r="M138" s="12"/>
      <c r="N138" s="30"/>
      <c r="O138" s="17"/>
      <c r="P138" s="31"/>
      <c r="Q138" s="19"/>
      <c r="R138" s="20"/>
      <c r="S138" s="21"/>
      <c r="T138" s="34"/>
      <c r="U138" s="34"/>
      <c r="V138" s="34"/>
      <c r="W138" s="34"/>
      <c r="X138" s="38"/>
      <c r="Y138" s="38"/>
      <c r="Z138" s="37"/>
      <c r="AA138" s="37"/>
      <c r="AB138" s="38"/>
      <c r="AC138" s="24"/>
      <c r="AD138" s="281"/>
      <c r="AE138" s="282"/>
      <c r="AF138" s="281"/>
      <c r="AG138" s="281"/>
      <c r="AH138" s="281"/>
      <c r="AI138" s="281"/>
      <c r="AJ138" s="281"/>
      <c r="AK138" s="281"/>
      <c r="AL138" s="281"/>
      <c r="AM138" s="281"/>
      <c r="AN138" s="281"/>
      <c r="AO138" s="283">
        <f>+AP135</f>
        <v>80460.55</v>
      </c>
    </row>
    <row r="139" s="1" customFormat="1" ht="21" customHeight="1" spans="1:42">
      <c r="A139" s="11">
        <v>34</v>
      </c>
      <c r="B139" s="12" t="s">
        <v>42</v>
      </c>
      <c r="C139" s="12" t="s">
        <v>43</v>
      </c>
      <c r="D139" s="13" t="s">
        <v>119</v>
      </c>
      <c r="E139" s="14" t="s">
        <v>45</v>
      </c>
      <c r="F139" s="12" t="s">
        <v>120</v>
      </c>
      <c r="G139" s="15">
        <v>80</v>
      </c>
      <c r="H139" s="15">
        <v>45</v>
      </c>
      <c r="I139" s="15"/>
      <c r="J139" s="15"/>
      <c r="K139" s="15">
        <v>35</v>
      </c>
      <c r="L139" s="12" t="s">
        <v>47</v>
      </c>
      <c r="M139" s="12" t="s">
        <v>120</v>
      </c>
      <c r="N139" s="30" t="s">
        <v>108</v>
      </c>
      <c r="O139" s="17">
        <v>45809</v>
      </c>
      <c r="P139" s="31" t="s">
        <v>49</v>
      </c>
      <c r="Q139" s="19" t="s">
        <v>50</v>
      </c>
      <c r="R139" s="20" t="s">
        <v>51</v>
      </c>
      <c r="S139" s="21"/>
      <c r="T139" s="11">
        <f>+H139+AH141/10000</f>
        <v>52.9149</v>
      </c>
      <c r="U139" s="11">
        <f>+I139</f>
        <v>0</v>
      </c>
      <c r="V139" s="11">
        <f>+J139</f>
        <v>0</v>
      </c>
      <c r="W139" s="11">
        <f>+K139-AH141/10000</f>
        <v>27.0851</v>
      </c>
      <c r="X139" s="23">
        <v>743083.25</v>
      </c>
      <c r="Y139" s="23">
        <v>743083.25</v>
      </c>
      <c r="Z139" s="22">
        <v>719539.45</v>
      </c>
      <c r="AA139" s="22">
        <v>719539.45</v>
      </c>
      <c r="AB139" s="23"/>
      <c r="AC139" s="24"/>
      <c r="AD139" s="268">
        <v>215861</v>
      </c>
      <c r="AE139" s="269">
        <f>+AD139/AA139</f>
        <v>0.299998839535483</v>
      </c>
      <c r="AF139" s="270">
        <v>45834</v>
      </c>
      <c r="AG139" s="268"/>
      <c r="AH139" s="268">
        <f>+AD139</f>
        <v>215861</v>
      </c>
      <c r="AI139" s="268"/>
      <c r="AJ139" s="268"/>
      <c r="AK139" s="268"/>
      <c r="AL139" s="268"/>
      <c r="AM139" s="268"/>
      <c r="AN139" s="268"/>
      <c r="AO139" s="271">
        <f>+G139*10000-AA139</f>
        <v>80460.55</v>
      </c>
      <c r="AP139" s="1">
        <f>+G139*10000-AA139</f>
        <v>80460.55</v>
      </c>
    </row>
    <row r="140" s="1" customFormat="1" ht="21" customHeight="1" spans="1:42">
      <c r="A140" s="27"/>
      <c r="B140" s="12"/>
      <c r="C140" s="12"/>
      <c r="D140" s="28"/>
      <c r="E140" s="14"/>
      <c r="F140" s="12"/>
      <c r="G140" s="29"/>
      <c r="H140" s="29"/>
      <c r="I140" s="29"/>
      <c r="J140" s="29"/>
      <c r="K140" s="29"/>
      <c r="L140" s="12"/>
      <c r="M140" s="12"/>
      <c r="N140" s="30"/>
      <c r="O140" s="17"/>
      <c r="P140" s="31"/>
      <c r="Q140" s="19"/>
      <c r="R140" s="20"/>
      <c r="S140" s="21"/>
      <c r="T140" s="27"/>
      <c r="U140" s="27"/>
      <c r="V140" s="27"/>
      <c r="W140" s="27"/>
      <c r="X140" s="33"/>
      <c r="Y140" s="33"/>
      <c r="Z140" s="32"/>
      <c r="AA140" s="32"/>
      <c r="AB140" s="33"/>
      <c r="AC140" s="24"/>
      <c r="AD140" s="272">
        <v>266230</v>
      </c>
      <c r="AE140" s="273">
        <f>+(+AD139+AD140)/AA139</f>
        <v>0.669999400310852</v>
      </c>
      <c r="AF140" s="274">
        <v>45834</v>
      </c>
      <c r="AG140" s="272"/>
      <c r="AH140" s="272">
        <f>+H139*10000-AH139</f>
        <v>234139</v>
      </c>
      <c r="AI140" s="272"/>
      <c r="AJ140" s="272"/>
      <c r="AK140" s="272">
        <f>+AD140-AH140</f>
        <v>32091</v>
      </c>
      <c r="AL140" s="275"/>
      <c r="AM140" s="275"/>
      <c r="AN140" s="275"/>
      <c r="AO140" s="276"/>
    </row>
    <row r="141" s="1" customFormat="1" ht="21" customHeight="1" spans="1:42">
      <c r="A141" s="27"/>
      <c r="B141" s="12"/>
      <c r="C141" s="12"/>
      <c r="D141" s="28"/>
      <c r="E141" s="14"/>
      <c r="F141" s="12"/>
      <c r="G141" s="29"/>
      <c r="H141" s="29"/>
      <c r="I141" s="29"/>
      <c r="J141" s="29"/>
      <c r="K141" s="29"/>
      <c r="L141" s="12"/>
      <c r="M141" s="12"/>
      <c r="N141" s="30"/>
      <c r="O141" s="17"/>
      <c r="P141" s="31"/>
      <c r="Q141" s="19"/>
      <c r="R141" s="20"/>
      <c r="S141" s="21"/>
      <c r="T141" s="27"/>
      <c r="U141" s="27"/>
      <c r="V141" s="27"/>
      <c r="W141" s="27"/>
      <c r="X141" s="33"/>
      <c r="Y141" s="33"/>
      <c r="Z141" s="32"/>
      <c r="AA141" s="32"/>
      <c r="AB141" s="33"/>
      <c r="AC141" s="24"/>
      <c r="AD141" s="277">
        <v>79149</v>
      </c>
      <c r="AE141" s="278">
        <f>+(AD141+AD140+AD139)/AA139</f>
        <v>0.779998928481267</v>
      </c>
      <c r="AF141" s="279">
        <v>45869</v>
      </c>
      <c r="AG141" s="277"/>
      <c r="AH141" s="277">
        <v>79149</v>
      </c>
      <c r="AI141" s="277"/>
      <c r="AJ141" s="277"/>
      <c r="AK141" s="277">
        <f>79149-AH141</f>
        <v>0</v>
      </c>
      <c r="AL141" s="277"/>
      <c r="AM141" s="277"/>
      <c r="AN141" s="277"/>
      <c r="AO141" s="280">
        <f>-AH141</f>
        <v>-79149</v>
      </c>
    </row>
    <row r="142" s="1" customFormat="1" ht="21" customHeight="1" spans="1:42">
      <c r="A142" s="34"/>
      <c r="B142" s="12"/>
      <c r="C142" s="12"/>
      <c r="D142" s="35"/>
      <c r="E142" s="14"/>
      <c r="F142" s="12"/>
      <c r="G142" s="36"/>
      <c r="H142" s="36"/>
      <c r="I142" s="36"/>
      <c r="J142" s="36"/>
      <c r="K142" s="36"/>
      <c r="L142" s="12"/>
      <c r="M142" s="12"/>
      <c r="N142" s="30"/>
      <c r="O142" s="17"/>
      <c r="P142" s="31"/>
      <c r="Q142" s="19"/>
      <c r="R142" s="20"/>
      <c r="S142" s="21"/>
      <c r="T142" s="34"/>
      <c r="U142" s="34"/>
      <c r="V142" s="34"/>
      <c r="W142" s="34"/>
      <c r="X142" s="38"/>
      <c r="Y142" s="38"/>
      <c r="Z142" s="37"/>
      <c r="AA142" s="37"/>
      <c r="AB142" s="38"/>
      <c r="AC142" s="24"/>
      <c r="AD142" s="281"/>
      <c r="AE142" s="282"/>
      <c r="AF142" s="281"/>
      <c r="AG142" s="281"/>
      <c r="AH142" s="281"/>
      <c r="AI142" s="281"/>
      <c r="AJ142" s="281"/>
      <c r="AK142" s="281"/>
      <c r="AL142" s="281"/>
      <c r="AM142" s="281"/>
      <c r="AN142" s="281"/>
      <c r="AO142" s="283">
        <f>+AP139</f>
        <v>80460.55</v>
      </c>
    </row>
    <row r="143" s="1" customFormat="1" ht="21" customHeight="1" spans="1:42">
      <c r="A143" s="11">
        <v>35</v>
      </c>
      <c r="B143" s="12" t="s">
        <v>42</v>
      </c>
      <c r="C143" s="12" t="s">
        <v>43</v>
      </c>
      <c r="D143" s="13" t="s">
        <v>121</v>
      </c>
      <c r="E143" s="14" t="s">
        <v>45</v>
      </c>
      <c r="F143" s="12" t="s">
        <v>122</v>
      </c>
      <c r="G143" s="15">
        <v>80</v>
      </c>
      <c r="H143" s="15">
        <v>45</v>
      </c>
      <c r="I143" s="15"/>
      <c r="J143" s="15"/>
      <c r="K143" s="15">
        <v>35</v>
      </c>
      <c r="L143" s="12" t="s">
        <v>47</v>
      </c>
      <c r="M143" s="12" t="str">
        <f>F143</f>
        <v>五女店镇北街村</v>
      </c>
      <c r="N143" s="30" t="s">
        <v>123</v>
      </c>
      <c r="O143" s="17">
        <v>45809</v>
      </c>
      <c r="P143" s="31" t="s">
        <v>49</v>
      </c>
      <c r="Q143" s="19" t="s">
        <v>50</v>
      </c>
      <c r="R143" s="20" t="s">
        <v>51</v>
      </c>
      <c r="S143" s="21"/>
      <c r="T143" s="11">
        <f>+H143+AH145/10000</f>
        <v>52.9149</v>
      </c>
      <c r="U143" s="11">
        <f>+I143</f>
        <v>0</v>
      </c>
      <c r="V143" s="11">
        <f>+J143</f>
        <v>0</v>
      </c>
      <c r="W143" s="11">
        <f>+K143-AH145/10000</f>
        <v>27.0851</v>
      </c>
      <c r="X143" s="23">
        <v>743083.25</v>
      </c>
      <c r="Y143" s="23">
        <v>743083.25</v>
      </c>
      <c r="Z143" s="22">
        <v>719539.45</v>
      </c>
      <c r="AA143" s="22">
        <v>719539.45</v>
      </c>
      <c r="AB143" s="23"/>
      <c r="AC143" s="24"/>
      <c r="AD143" s="268">
        <v>215861</v>
      </c>
      <c r="AE143" s="269">
        <f>+AD143/AA143</f>
        <v>0.299998839535483</v>
      </c>
      <c r="AF143" s="270">
        <v>45834</v>
      </c>
      <c r="AG143" s="268"/>
      <c r="AH143" s="268">
        <f>+AD143</f>
        <v>215861</v>
      </c>
      <c r="AI143" s="268"/>
      <c r="AJ143" s="268"/>
      <c r="AK143" s="268"/>
      <c r="AL143" s="268"/>
      <c r="AM143" s="268"/>
      <c r="AN143" s="268"/>
      <c r="AO143" s="271">
        <f>+G143*10000-AA143</f>
        <v>80460.55</v>
      </c>
      <c r="AP143" s="1">
        <f>+G143*10000-AA143</f>
        <v>80460.55</v>
      </c>
    </row>
    <row r="144" s="1" customFormat="1" ht="21" customHeight="1" spans="1:42">
      <c r="A144" s="27"/>
      <c r="B144" s="12"/>
      <c r="C144" s="12"/>
      <c r="D144" s="28"/>
      <c r="E144" s="14"/>
      <c r="F144" s="12"/>
      <c r="G144" s="29"/>
      <c r="H144" s="29"/>
      <c r="I144" s="29"/>
      <c r="J144" s="29"/>
      <c r="K144" s="29"/>
      <c r="L144" s="12"/>
      <c r="M144" s="12"/>
      <c r="N144" s="30"/>
      <c r="O144" s="17"/>
      <c r="P144" s="31"/>
      <c r="Q144" s="19"/>
      <c r="R144" s="20"/>
      <c r="S144" s="21"/>
      <c r="T144" s="27"/>
      <c r="U144" s="27"/>
      <c r="V144" s="27"/>
      <c r="W144" s="27"/>
      <c r="X144" s="33"/>
      <c r="Y144" s="33"/>
      <c r="Z144" s="32"/>
      <c r="AA144" s="32"/>
      <c r="AB144" s="33"/>
      <c r="AC144" s="24"/>
      <c r="AD144" s="272">
        <v>266230</v>
      </c>
      <c r="AE144" s="273">
        <f>+(+AD143+AD144)/AA143</f>
        <v>0.669999400310852</v>
      </c>
      <c r="AF144" s="274">
        <v>45834</v>
      </c>
      <c r="AG144" s="272"/>
      <c r="AH144" s="272">
        <f>+H143*10000-AH143</f>
        <v>234139</v>
      </c>
      <c r="AI144" s="272"/>
      <c r="AJ144" s="272"/>
      <c r="AK144" s="272">
        <f>+AD144-AH144</f>
        <v>32091</v>
      </c>
      <c r="AL144" s="275"/>
      <c r="AM144" s="275"/>
      <c r="AN144" s="275"/>
      <c r="AO144" s="276"/>
    </row>
    <row r="145" s="1" customFormat="1" ht="21" customHeight="1" spans="1:42">
      <c r="A145" s="27"/>
      <c r="B145" s="12"/>
      <c r="C145" s="12"/>
      <c r="D145" s="28"/>
      <c r="E145" s="14"/>
      <c r="F145" s="12"/>
      <c r="G145" s="29"/>
      <c r="H145" s="29"/>
      <c r="I145" s="29"/>
      <c r="J145" s="29"/>
      <c r="K145" s="29"/>
      <c r="L145" s="12"/>
      <c r="M145" s="12"/>
      <c r="N145" s="30"/>
      <c r="O145" s="17"/>
      <c r="P145" s="31"/>
      <c r="Q145" s="19"/>
      <c r="R145" s="20"/>
      <c r="S145" s="21"/>
      <c r="T145" s="27"/>
      <c r="U145" s="27"/>
      <c r="V145" s="27"/>
      <c r="W145" s="27"/>
      <c r="X145" s="33"/>
      <c r="Y145" s="33"/>
      <c r="Z145" s="32"/>
      <c r="AA145" s="32"/>
      <c r="AB145" s="33"/>
      <c r="AC145" s="24"/>
      <c r="AD145" s="277">
        <v>79149</v>
      </c>
      <c r="AE145" s="278">
        <f>+(AD145+AD144+AD143)/AA143</f>
        <v>0.779998928481267</v>
      </c>
      <c r="AF145" s="279">
        <v>45869</v>
      </c>
      <c r="AG145" s="277"/>
      <c r="AH145" s="277">
        <v>79149</v>
      </c>
      <c r="AI145" s="277"/>
      <c r="AJ145" s="277"/>
      <c r="AK145" s="277">
        <f>79149-AH145</f>
        <v>0</v>
      </c>
      <c r="AL145" s="277"/>
      <c r="AM145" s="277"/>
      <c r="AN145" s="277"/>
      <c r="AO145" s="280">
        <f>-AH145</f>
        <v>-79149</v>
      </c>
    </row>
    <row r="146" s="1" customFormat="1" ht="21" customHeight="1" spans="1:42">
      <c r="A146" s="34"/>
      <c r="B146" s="12"/>
      <c r="C146" s="12"/>
      <c r="D146" s="35"/>
      <c r="E146" s="14"/>
      <c r="F146" s="12"/>
      <c r="G146" s="36"/>
      <c r="H146" s="36"/>
      <c r="I146" s="36"/>
      <c r="J146" s="36"/>
      <c r="K146" s="36"/>
      <c r="L146" s="12"/>
      <c r="M146" s="12"/>
      <c r="N146" s="30"/>
      <c r="O146" s="17"/>
      <c r="P146" s="31"/>
      <c r="Q146" s="19"/>
      <c r="R146" s="20"/>
      <c r="S146" s="21"/>
      <c r="T146" s="34"/>
      <c r="U146" s="34"/>
      <c r="V146" s="34"/>
      <c r="W146" s="34"/>
      <c r="X146" s="38"/>
      <c r="Y146" s="38"/>
      <c r="Z146" s="37"/>
      <c r="AA146" s="37"/>
      <c r="AB146" s="38"/>
      <c r="AC146" s="24"/>
      <c r="AD146" s="281"/>
      <c r="AE146" s="282"/>
      <c r="AF146" s="281"/>
      <c r="AG146" s="281"/>
      <c r="AH146" s="281"/>
      <c r="AI146" s="281"/>
      <c r="AJ146" s="281"/>
      <c r="AK146" s="281"/>
      <c r="AL146" s="281"/>
      <c r="AM146" s="281"/>
      <c r="AN146" s="281"/>
      <c r="AO146" s="283">
        <f>+AP143</f>
        <v>80460.55</v>
      </c>
    </row>
    <row r="147" s="1" customFormat="1" ht="21" customHeight="1" spans="1:42">
      <c r="A147" s="11">
        <v>36</v>
      </c>
      <c r="B147" s="12" t="s">
        <v>42</v>
      </c>
      <c r="C147" s="12" t="s">
        <v>43</v>
      </c>
      <c r="D147" s="13" t="s">
        <v>124</v>
      </c>
      <c r="E147" s="14" t="s">
        <v>45</v>
      </c>
      <c r="F147" s="12" t="s">
        <v>125</v>
      </c>
      <c r="G147" s="15">
        <v>80</v>
      </c>
      <c r="H147" s="15">
        <v>45</v>
      </c>
      <c r="I147" s="15"/>
      <c r="J147" s="15"/>
      <c r="K147" s="15">
        <v>35</v>
      </c>
      <c r="L147" s="12" t="s">
        <v>47</v>
      </c>
      <c r="M147" s="12" t="str">
        <f>F147</f>
        <v>五女店镇柏茗村</v>
      </c>
      <c r="N147" s="30" t="s">
        <v>123</v>
      </c>
      <c r="O147" s="17">
        <v>45809</v>
      </c>
      <c r="P147" s="31" t="s">
        <v>49</v>
      </c>
      <c r="Q147" s="19" t="s">
        <v>50</v>
      </c>
      <c r="R147" s="20" t="s">
        <v>51</v>
      </c>
      <c r="S147" s="21"/>
      <c r="T147" s="11">
        <f>+H147+AH149/10000</f>
        <v>52.9772</v>
      </c>
      <c r="U147" s="11">
        <f>+I147</f>
        <v>0</v>
      </c>
      <c r="V147" s="11">
        <f>+J147</f>
        <v>0</v>
      </c>
      <c r="W147" s="11">
        <f>+K147-AH149/10000</f>
        <v>27.0228</v>
      </c>
      <c r="X147" s="23">
        <v>745184.36</v>
      </c>
      <c r="Y147" s="23">
        <v>745184.36</v>
      </c>
      <c r="Z147" s="22">
        <v>725193.97</v>
      </c>
      <c r="AA147" s="22">
        <v>725193.97</v>
      </c>
      <c r="AB147" s="23"/>
      <c r="AC147" s="24"/>
      <c r="AD147" s="268">
        <v>217558</v>
      </c>
      <c r="AE147" s="269">
        <f>+AD147/AA147</f>
        <v>0.29999973662219</v>
      </c>
      <c r="AF147" s="270">
        <v>45834</v>
      </c>
      <c r="AG147" s="268"/>
      <c r="AH147" s="268">
        <f>+AD147</f>
        <v>217558</v>
      </c>
      <c r="AI147" s="268"/>
      <c r="AJ147" s="268"/>
      <c r="AK147" s="268"/>
      <c r="AL147" s="268"/>
      <c r="AM147" s="268"/>
      <c r="AN147" s="268"/>
      <c r="AO147" s="271">
        <f>+G147*10000-AA147</f>
        <v>74806.03</v>
      </c>
      <c r="AP147" s="1">
        <f>+G147*10000-AA147</f>
        <v>74806.03</v>
      </c>
    </row>
    <row r="148" s="1" customFormat="1" ht="21" customHeight="1" spans="1:42">
      <c r="A148" s="27"/>
      <c r="B148" s="12"/>
      <c r="C148" s="12"/>
      <c r="D148" s="28"/>
      <c r="E148" s="14"/>
      <c r="F148" s="12"/>
      <c r="G148" s="29"/>
      <c r="H148" s="29"/>
      <c r="I148" s="29"/>
      <c r="J148" s="29"/>
      <c r="K148" s="29"/>
      <c r="L148" s="12"/>
      <c r="M148" s="12"/>
      <c r="N148" s="30"/>
      <c r="O148" s="17"/>
      <c r="P148" s="31"/>
      <c r="Q148" s="19"/>
      <c r="R148" s="20"/>
      <c r="S148" s="21"/>
      <c r="T148" s="27"/>
      <c r="U148" s="27"/>
      <c r="V148" s="27"/>
      <c r="W148" s="27"/>
      <c r="X148" s="33"/>
      <c r="Y148" s="33"/>
      <c r="Z148" s="32"/>
      <c r="AA148" s="32"/>
      <c r="AB148" s="33"/>
      <c r="AC148" s="24"/>
      <c r="AD148" s="272">
        <v>268321</v>
      </c>
      <c r="AE148" s="273">
        <f>+(+AD147+AD148)/AA147</f>
        <v>0.669998676354135</v>
      </c>
      <c r="AF148" s="274">
        <v>45834</v>
      </c>
      <c r="AG148" s="272"/>
      <c r="AH148" s="272">
        <f>+H147*10000-AH147</f>
        <v>232442</v>
      </c>
      <c r="AI148" s="272"/>
      <c r="AJ148" s="272"/>
      <c r="AK148" s="272">
        <f>+AD148-AH148</f>
        <v>35879</v>
      </c>
      <c r="AL148" s="275"/>
      <c r="AM148" s="275"/>
      <c r="AN148" s="275"/>
      <c r="AO148" s="276"/>
    </row>
    <row r="149" s="1" customFormat="1" ht="21" customHeight="1" spans="1:42">
      <c r="A149" s="27"/>
      <c r="B149" s="12"/>
      <c r="C149" s="12"/>
      <c r="D149" s="28"/>
      <c r="E149" s="14"/>
      <c r="F149" s="12"/>
      <c r="G149" s="29"/>
      <c r="H149" s="29"/>
      <c r="I149" s="29"/>
      <c r="J149" s="29"/>
      <c r="K149" s="29"/>
      <c r="L149" s="12"/>
      <c r="M149" s="12"/>
      <c r="N149" s="30"/>
      <c r="O149" s="17"/>
      <c r="P149" s="31"/>
      <c r="Q149" s="19"/>
      <c r="R149" s="20"/>
      <c r="S149" s="21"/>
      <c r="T149" s="27"/>
      <c r="U149" s="27"/>
      <c r="V149" s="27"/>
      <c r="W149" s="27"/>
      <c r="X149" s="33"/>
      <c r="Y149" s="33"/>
      <c r="Z149" s="32"/>
      <c r="AA149" s="32"/>
      <c r="AB149" s="33"/>
      <c r="AC149" s="24"/>
      <c r="AD149" s="277">
        <v>79772</v>
      </c>
      <c r="AE149" s="278">
        <f>+(AD149+AD148+AD147)/AA147</f>
        <v>0.779999591005976</v>
      </c>
      <c r="AF149" s="279">
        <v>45869</v>
      </c>
      <c r="AG149" s="277"/>
      <c r="AH149" s="277">
        <v>79772</v>
      </c>
      <c r="AI149" s="277"/>
      <c r="AJ149" s="277"/>
      <c r="AK149" s="277">
        <f>79772-AH149</f>
        <v>0</v>
      </c>
      <c r="AL149" s="277"/>
      <c r="AM149" s="277"/>
      <c r="AN149" s="277"/>
      <c r="AO149" s="280">
        <f>-AH149</f>
        <v>-79772</v>
      </c>
    </row>
    <row r="150" s="1" customFormat="1" ht="21" customHeight="1" spans="1:42">
      <c r="A150" s="34"/>
      <c r="B150" s="12"/>
      <c r="C150" s="12"/>
      <c r="D150" s="35"/>
      <c r="E150" s="14"/>
      <c r="F150" s="12"/>
      <c r="G150" s="36"/>
      <c r="H150" s="36"/>
      <c r="I150" s="36"/>
      <c r="J150" s="36"/>
      <c r="K150" s="36"/>
      <c r="L150" s="12"/>
      <c r="M150" s="12"/>
      <c r="N150" s="30"/>
      <c r="O150" s="17"/>
      <c r="P150" s="31"/>
      <c r="Q150" s="19"/>
      <c r="R150" s="20"/>
      <c r="S150" s="21"/>
      <c r="T150" s="34"/>
      <c r="U150" s="34"/>
      <c r="V150" s="34"/>
      <c r="W150" s="34"/>
      <c r="X150" s="38"/>
      <c r="Y150" s="38"/>
      <c r="Z150" s="37"/>
      <c r="AA150" s="37"/>
      <c r="AB150" s="38"/>
      <c r="AC150" s="24"/>
      <c r="AD150" s="281"/>
      <c r="AE150" s="282"/>
      <c r="AF150" s="281"/>
      <c r="AG150" s="281"/>
      <c r="AH150" s="281"/>
      <c r="AI150" s="281"/>
      <c r="AJ150" s="281"/>
      <c r="AK150" s="281"/>
      <c r="AL150" s="281"/>
      <c r="AM150" s="281"/>
      <c r="AN150" s="281"/>
      <c r="AO150" s="283">
        <f>+AP147</f>
        <v>74806.03</v>
      </c>
    </row>
    <row r="151" s="1" customFormat="1" ht="21" customHeight="1" spans="1:42">
      <c r="A151" s="11">
        <v>37</v>
      </c>
      <c r="B151" s="12" t="s">
        <v>42</v>
      </c>
      <c r="C151" s="12" t="s">
        <v>43</v>
      </c>
      <c r="D151" s="13" t="s">
        <v>126</v>
      </c>
      <c r="E151" s="14" t="s">
        <v>45</v>
      </c>
      <c r="F151" s="12" t="s">
        <v>127</v>
      </c>
      <c r="G151" s="15">
        <v>80</v>
      </c>
      <c r="H151" s="15">
        <v>45</v>
      </c>
      <c r="I151" s="15"/>
      <c r="J151" s="15"/>
      <c r="K151" s="15">
        <v>35</v>
      </c>
      <c r="L151" s="12" t="s">
        <v>47</v>
      </c>
      <c r="M151" s="12" t="str">
        <f>F151</f>
        <v>五女店镇刘崔吴村</v>
      </c>
      <c r="N151" s="30" t="s">
        <v>123</v>
      </c>
      <c r="O151" s="17">
        <v>45809</v>
      </c>
      <c r="P151" s="31" t="s">
        <v>49</v>
      </c>
      <c r="Q151" s="19" t="s">
        <v>50</v>
      </c>
      <c r="R151" s="20" t="s">
        <v>51</v>
      </c>
      <c r="S151" s="21"/>
      <c r="T151" s="11">
        <f>+H151+AH153/10000</f>
        <v>52.9149</v>
      </c>
      <c r="U151" s="11">
        <f>+I151</f>
        <v>0</v>
      </c>
      <c r="V151" s="11">
        <f>+J151</f>
        <v>0</v>
      </c>
      <c r="W151" s="11">
        <f>+K151-AH153/10000</f>
        <v>27.0851</v>
      </c>
      <c r="X151" s="23">
        <v>743083.25</v>
      </c>
      <c r="Y151" s="23">
        <v>743083.25</v>
      </c>
      <c r="Z151" s="22">
        <v>719539.45</v>
      </c>
      <c r="AA151" s="22">
        <v>719539.45</v>
      </c>
      <c r="AB151" s="23"/>
      <c r="AC151" s="24"/>
      <c r="AD151" s="268">
        <v>215861</v>
      </c>
      <c r="AE151" s="269">
        <f>+AD151/AA151</f>
        <v>0.299998839535483</v>
      </c>
      <c r="AF151" s="270">
        <v>45834</v>
      </c>
      <c r="AG151" s="268"/>
      <c r="AH151" s="268">
        <f>+AD151</f>
        <v>215861</v>
      </c>
      <c r="AI151" s="268"/>
      <c r="AJ151" s="268"/>
      <c r="AK151" s="268"/>
      <c r="AL151" s="268"/>
      <c r="AM151" s="268"/>
      <c r="AN151" s="268"/>
      <c r="AO151" s="271">
        <f>+G151*10000-AA151</f>
        <v>80460.55</v>
      </c>
      <c r="AP151" s="1">
        <f>+G151*10000-AA151</f>
        <v>80460.55</v>
      </c>
    </row>
    <row r="152" s="1" customFormat="1" ht="21" customHeight="1" spans="1:42">
      <c r="A152" s="27"/>
      <c r="B152" s="12"/>
      <c r="C152" s="12"/>
      <c r="D152" s="28"/>
      <c r="E152" s="14"/>
      <c r="F152" s="12"/>
      <c r="G152" s="29"/>
      <c r="H152" s="29"/>
      <c r="I152" s="29"/>
      <c r="J152" s="29"/>
      <c r="K152" s="29"/>
      <c r="L152" s="12"/>
      <c r="M152" s="12"/>
      <c r="N152" s="30"/>
      <c r="O152" s="17"/>
      <c r="P152" s="31"/>
      <c r="Q152" s="19"/>
      <c r="R152" s="20"/>
      <c r="S152" s="21"/>
      <c r="T152" s="27"/>
      <c r="U152" s="27"/>
      <c r="V152" s="27"/>
      <c r="W152" s="27"/>
      <c r="X152" s="33"/>
      <c r="Y152" s="33"/>
      <c r="Z152" s="32"/>
      <c r="AA152" s="32"/>
      <c r="AB152" s="33"/>
      <c r="AC152" s="24"/>
      <c r="AD152" s="272">
        <v>266230</v>
      </c>
      <c r="AE152" s="273">
        <f>+(+AD151+AD152)/AA151</f>
        <v>0.669999400310852</v>
      </c>
      <c r="AF152" s="274">
        <v>45834</v>
      </c>
      <c r="AG152" s="272"/>
      <c r="AH152" s="272">
        <f>+H151*10000-AH151</f>
        <v>234139</v>
      </c>
      <c r="AI152" s="272"/>
      <c r="AJ152" s="272"/>
      <c r="AK152" s="272">
        <f>+AD152-AH152</f>
        <v>32091</v>
      </c>
      <c r="AL152" s="275"/>
      <c r="AM152" s="275"/>
      <c r="AN152" s="275"/>
      <c r="AO152" s="276"/>
    </row>
    <row r="153" s="1" customFormat="1" ht="21" customHeight="1" spans="1:42">
      <c r="A153" s="27"/>
      <c r="B153" s="12"/>
      <c r="C153" s="12"/>
      <c r="D153" s="28"/>
      <c r="E153" s="14"/>
      <c r="F153" s="12"/>
      <c r="G153" s="29"/>
      <c r="H153" s="29"/>
      <c r="I153" s="29"/>
      <c r="J153" s="29"/>
      <c r="K153" s="29"/>
      <c r="L153" s="12"/>
      <c r="M153" s="12"/>
      <c r="N153" s="30"/>
      <c r="O153" s="17"/>
      <c r="P153" s="31"/>
      <c r="Q153" s="19"/>
      <c r="R153" s="20"/>
      <c r="S153" s="21"/>
      <c r="T153" s="27"/>
      <c r="U153" s="27"/>
      <c r="V153" s="27"/>
      <c r="W153" s="27"/>
      <c r="X153" s="33"/>
      <c r="Y153" s="33"/>
      <c r="Z153" s="32"/>
      <c r="AA153" s="32"/>
      <c r="AB153" s="33"/>
      <c r="AC153" s="24"/>
      <c r="AD153" s="277">
        <v>79149</v>
      </c>
      <c r="AE153" s="278">
        <f>+(AD153+AD152+AD151)/AA151</f>
        <v>0.779998928481267</v>
      </c>
      <c r="AF153" s="279">
        <v>45869</v>
      </c>
      <c r="AG153" s="277"/>
      <c r="AH153" s="277">
        <v>79149</v>
      </c>
      <c r="AI153" s="277"/>
      <c r="AJ153" s="277"/>
      <c r="AK153" s="277">
        <f>79149-AH153</f>
        <v>0</v>
      </c>
      <c r="AL153" s="277"/>
      <c r="AM153" s="277"/>
      <c r="AN153" s="277"/>
      <c r="AO153" s="280">
        <f>-AH153</f>
        <v>-79149</v>
      </c>
    </row>
    <row r="154" s="1" customFormat="1" ht="21" customHeight="1" spans="1:42">
      <c r="A154" s="34"/>
      <c r="B154" s="12"/>
      <c r="C154" s="12"/>
      <c r="D154" s="35"/>
      <c r="E154" s="14"/>
      <c r="F154" s="12"/>
      <c r="G154" s="36"/>
      <c r="H154" s="36"/>
      <c r="I154" s="36"/>
      <c r="J154" s="36"/>
      <c r="K154" s="36"/>
      <c r="L154" s="12"/>
      <c r="M154" s="12"/>
      <c r="N154" s="30"/>
      <c r="O154" s="17"/>
      <c r="P154" s="31"/>
      <c r="Q154" s="19"/>
      <c r="R154" s="20"/>
      <c r="S154" s="21"/>
      <c r="T154" s="34"/>
      <c r="U154" s="34"/>
      <c r="V154" s="34"/>
      <c r="W154" s="34"/>
      <c r="X154" s="38"/>
      <c r="Y154" s="38"/>
      <c r="Z154" s="37"/>
      <c r="AA154" s="37"/>
      <c r="AB154" s="38"/>
      <c r="AC154" s="24"/>
      <c r="AD154" s="281"/>
      <c r="AE154" s="282"/>
      <c r="AF154" s="281"/>
      <c r="AG154" s="281"/>
      <c r="AH154" s="281"/>
      <c r="AI154" s="281"/>
      <c r="AJ154" s="281"/>
      <c r="AK154" s="281"/>
      <c r="AL154" s="281"/>
      <c r="AM154" s="281"/>
      <c r="AN154" s="281"/>
      <c r="AO154" s="283">
        <f>+AP151</f>
        <v>80460.55</v>
      </c>
    </row>
    <row r="155" s="1" customFormat="1" ht="21" customHeight="1" spans="1:42">
      <c r="A155" s="11">
        <v>38</v>
      </c>
      <c r="B155" s="12" t="s">
        <v>42</v>
      </c>
      <c r="C155" s="12" t="s">
        <v>43</v>
      </c>
      <c r="D155" s="13" t="s">
        <v>128</v>
      </c>
      <c r="E155" s="14" t="s">
        <v>45</v>
      </c>
      <c r="F155" s="12" t="s">
        <v>129</v>
      </c>
      <c r="G155" s="15">
        <v>80</v>
      </c>
      <c r="H155" s="15">
        <v>45</v>
      </c>
      <c r="I155" s="15"/>
      <c r="J155" s="15"/>
      <c r="K155" s="15">
        <v>35</v>
      </c>
      <c r="L155" s="12" t="s">
        <v>47</v>
      </c>
      <c r="M155" s="12" t="str">
        <f>F155</f>
        <v>陈曹乡杨刘村</v>
      </c>
      <c r="N155" s="30" t="s">
        <v>130</v>
      </c>
      <c r="O155" s="17">
        <v>45809</v>
      </c>
      <c r="P155" s="31" t="s">
        <v>49</v>
      </c>
      <c r="Q155" s="19" t="s">
        <v>50</v>
      </c>
      <c r="R155" s="20" t="s">
        <v>51</v>
      </c>
      <c r="S155" s="21"/>
      <c r="T155" s="11">
        <f>+H155+AH157/10000</f>
        <v>52.9149</v>
      </c>
      <c r="U155" s="11">
        <f>+I155</f>
        <v>0</v>
      </c>
      <c r="V155" s="11">
        <f>+J155</f>
        <v>0</v>
      </c>
      <c r="W155" s="11">
        <f>+K155-AH157/10000</f>
        <v>27.0851</v>
      </c>
      <c r="X155" s="23">
        <v>743083.39</v>
      </c>
      <c r="Y155" s="23">
        <v>743083.39</v>
      </c>
      <c r="Z155" s="22">
        <v>719539.57</v>
      </c>
      <c r="AA155" s="22">
        <v>719539.57</v>
      </c>
      <c r="AB155" s="23"/>
      <c r="AC155" s="24"/>
      <c r="AD155" s="268">
        <v>215861</v>
      </c>
      <c r="AE155" s="269">
        <f>+AD155/AA155</f>
        <v>0.299998789503682</v>
      </c>
      <c r="AF155" s="270">
        <v>45834</v>
      </c>
      <c r="AG155" s="268"/>
      <c r="AH155" s="268">
        <f>+AD155</f>
        <v>215861</v>
      </c>
      <c r="AI155" s="268"/>
      <c r="AJ155" s="268"/>
      <c r="AK155" s="268"/>
      <c r="AL155" s="268"/>
      <c r="AM155" s="268"/>
      <c r="AN155" s="268"/>
      <c r="AO155" s="271">
        <f>+G155*10000-AA155</f>
        <v>80460.4300000001</v>
      </c>
      <c r="AP155" s="1">
        <f>+G155*10000-AA155</f>
        <v>80460.4300000001</v>
      </c>
    </row>
    <row r="156" s="1" customFormat="1" ht="21" customHeight="1" spans="1:42">
      <c r="A156" s="27"/>
      <c r="B156" s="12"/>
      <c r="C156" s="12"/>
      <c r="D156" s="28"/>
      <c r="E156" s="14"/>
      <c r="F156" s="12"/>
      <c r="G156" s="29"/>
      <c r="H156" s="29"/>
      <c r="I156" s="29"/>
      <c r="J156" s="29"/>
      <c r="K156" s="29"/>
      <c r="L156" s="12"/>
      <c r="M156" s="12"/>
      <c r="N156" s="30"/>
      <c r="O156" s="17"/>
      <c r="P156" s="31"/>
      <c r="Q156" s="19"/>
      <c r="R156" s="20"/>
      <c r="S156" s="21"/>
      <c r="T156" s="27"/>
      <c r="U156" s="27"/>
      <c r="V156" s="27"/>
      <c r="W156" s="27"/>
      <c r="X156" s="33"/>
      <c r="Y156" s="33"/>
      <c r="Z156" s="32"/>
      <c r="AA156" s="32"/>
      <c r="AB156" s="33"/>
      <c r="AC156" s="24"/>
      <c r="AD156" s="272">
        <v>266230</v>
      </c>
      <c r="AE156" s="273">
        <f>+(+AD155+AD156)/AA155</f>
        <v>0.66999928857283</v>
      </c>
      <c r="AF156" s="274">
        <v>45834</v>
      </c>
      <c r="AG156" s="272"/>
      <c r="AH156" s="272">
        <f>+H155*10000-AH155</f>
        <v>234139</v>
      </c>
      <c r="AI156" s="272"/>
      <c r="AJ156" s="272"/>
      <c r="AK156" s="272">
        <f>+AD156-AH156</f>
        <v>32091</v>
      </c>
      <c r="AL156" s="275"/>
      <c r="AM156" s="275"/>
      <c r="AN156" s="275"/>
      <c r="AO156" s="276"/>
    </row>
    <row r="157" s="1" customFormat="1" ht="21" customHeight="1" spans="1:42">
      <c r="A157" s="27"/>
      <c r="B157" s="12"/>
      <c r="C157" s="12"/>
      <c r="D157" s="28"/>
      <c r="E157" s="14"/>
      <c r="F157" s="12"/>
      <c r="G157" s="29"/>
      <c r="H157" s="29"/>
      <c r="I157" s="29"/>
      <c r="J157" s="29"/>
      <c r="K157" s="29"/>
      <c r="L157" s="12"/>
      <c r="M157" s="12"/>
      <c r="N157" s="30"/>
      <c r="O157" s="17"/>
      <c r="P157" s="31"/>
      <c r="Q157" s="19"/>
      <c r="R157" s="20"/>
      <c r="S157" s="21"/>
      <c r="T157" s="27"/>
      <c r="U157" s="27"/>
      <c r="V157" s="27"/>
      <c r="W157" s="27"/>
      <c r="X157" s="33"/>
      <c r="Y157" s="33"/>
      <c r="Z157" s="32"/>
      <c r="AA157" s="32"/>
      <c r="AB157" s="33"/>
      <c r="AC157" s="24"/>
      <c r="AD157" s="277">
        <v>79149</v>
      </c>
      <c r="AE157" s="278">
        <f>+(AD157+AD156+AD155)/AA155</f>
        <v>0.779998798398259</v>
      </c>
      <c r="AF157" s="279">
        <v>45869</v>
      </c>
      <c r="AG157" s="277"/>
      <c r="AH157" s="277">
        <v>79149</v>
      </c>
      <c r="AI157" s="277"/>
      <c r="AJ157" s="277"/>
      <c r="AK157" s="277">
        <f>79149-AH157</f>
        <v>0</v>
      </c>
      <c r="AL157" s="277"/>
      <c r="AM157" s="277"/>
      <c r="AN157" s="277"/>
      <c r="AO157" s="280">
        <f>-AH157</f>
        <v>-79149</v>
      </c>
    </row>
    <row r="158" s="1" customFormat="1" ht="21" customHeight="1" spans="1:42">
      <c r="A158" s="34"/>
      <c r="B158" s="12"/>
      <c r="C158" s="12"/>
      <c r="D158" s="35"/>
      <c r="E158" s="14"/>
      <c r="F158" s="12"/>
      <c r="G158" s="36"/>
      <c r="H158" s="36"/>
      <c r="I158" s="36"/>
      <c r="J158" s="36"/>
      <c r="K158" s="36"/>
      <c r="L158" s="12"/>
      <c r="M158" s="12"/>
      <c r="N158" s="30"/>
      <c r="O158" s="17"/>
      <c r="P158" s="31"/>
      <c r="Q158" s="19"/>
      <c r="R158" s="20"/>
      <c r="S158" s="21"/>
      <c r="T158" s="34"/>
      <c r="U158" s="34"/>
      <c r="V158" s="34"/>
      <c r="W158" s="34"/>
      <c r="X158" s="38"/>
      <c r="Y158" s="38"/>
      <c r="Z158" s="37"/>
      <c r="AA158" s="37"/>
      <c r="AB158" s="38"/>
      <c r="AC158" s="24"/>
      <c r="AD158" s="281"/>
      <c r="AE158" s="282"/>
      <c r="AF158" s="281"/>
      <c r="AG158" s="281"/>
      <c r="AH158" s="281"/>
      <c r="AI158" s="281"/>
      <c r="AJ158" s="281"/>
      <c r="AK158" s="281"/>
      <c r="AL158" s="281"/>
      <c r="AM158" s="281"/>
      <c r="AN158" s="281"/>
      <c r="AO158" s="283">
        <f>+AP155</f>
        <v>80460.4300000001</v>
      </c>
    </row>
    <row r="159" s="1" customFormat="1" ht="21" customHeight="1" spans="1:42">
      <c r="A159" s="284">
        <v>39</v>
      </c>
      <c r="B159" s="12" t="s">
        <v>42</v>
      </c>
      <c r="C159" s="12" t="s">
        <v>43</v>
      </c>
      <c r="D159" s="286" t="s">
        <v>131</v>
      </c>
      <c r="E159" s="14" t="s">
        <v>132</v>
      </c>
      <c r="F159" s="12" t="s">
        <v>133</v>
      </c>
      <c r="G159" s="15">
        <v>240</v>
      </c>
      <c r="H159" s="15">
        <v>135</v>
      </c>
      <c r="I159" s="15"/>
      <c r="J159" s="15"/>
      <c r="K159" s="15">
        <v>105</v>
      </c>
      <c r="L159" s="12" t="s">
        <v>47</v>
      </c>
      <c r="M159" s="12" t="str">
        <f>F159</f>
        <v>陈曹乡邹家村</v>
      </c>
      <c r="N159" s="30" t="s">
        <v>130</v>
      </c>
      <c r="O159" s="17">
        <v>45809</v>
      </c>
      <c r="P159" s="31" t="s">
        <v>49</v>
      </c>
      <c r="Q159" s="19" t="s">
        <v>50</v>
      </c>
      <c r="R159" s="20" t="s">
        <v>51</v>
      </c>
      <c r="S159" s="21"/>
      <c r="T159" s="11">
        <f>+H159+AH161/10000</f>
        <v>158.9314</v>
      </c>
      <c r="U159" s="11">
        <f>+I159</f>
        <v>0</v>
      </c>
      <c r="V159" s="11">
        <f>+J159</f>
        <v>0</v>
      </c>
      <c r="W159" s="11">
        <f>+K159-AH161/10000</f>
        <v>81.0686</v>
      </c>
      <c r="X159" s="23">
        <v>2235553.04</v>
      </c>
      <c r="Y159" s="23">
        <v>2235553.04</v>
      </c>
      <c r="Z159" s="22">
        <v>2175581.83</v>
      </c>
      <c r="AA159" s="22">
        <v>2175581.83</v>
      </c>
      <c r="AB159" s="23"/>
      <c r="AC159" s="24"/>
      <c r="AD159" s="268">
        <v>652674</v>
      </c>
      <c r="AE159" s="269">
        <f>+AD159/AA159</f>
        <v>0.299999747653712</v>
      </c>
      <c r="AF159" s="270">
        <v>45834</v>
      </c>
      <c r="AG159" s="268"/>
      <c r="AH159" s="268">
        <f>+AD159</f>
        <v>652674</v>
      </c>
      <c r="AI159" s="268"/>
      <c r="AJ159" s="268"/>
      <c r="AK159" s="268"/>
      <c r="AL159" s="268"/>
      <c r="AM159" s="268"/>
      <c r="AN159" s="268"/>
      <c r="AO159" s="271">
        <f>+G159*10000-AA159</f>
        <v>224418.17</v>
      </c>
      <c r="AP159" s="1">
        <f>+G159*10000-AA159</f>
        <v>224418.17</v>
      </c>
    </row>
    <row r="160" s="1" customFormat="1" ht="21" customHeight="1" spans="1:42">
      <c r="A160" s="287"/>
      <c r="B160" s="12"/>
      <c r="C160" s="12"/>
      <c r="D160" s="288"/>
      <c r="E160" s="14"/>
      <c r="F160" s="12"/>
      <c r="G160" s="29"/>
      <c r="H160" s="29"/>
      <c r="I160" s="29"/>
      <c r="J160" s="29"/>
      <c r="K160" s="29"/>
      <c r="L160" s="12"/>
      <c r="M160" s="12"/>
      <c r="N160" s="30"/>
      <c r="O160" s="17"/>
      <c r="P160" s="31"/>
      <c r="Q160" s="19"/>
      <c r="R160" s="20"/>
      <c r="S160" s="21"/>
      <c r="T160" s="27"/>
      <c r="U160" s="27"/>
      <c r="V160" s="27"/>
      <c r="W160" s="27"/>
      <c r="X160" s="33"/>
      <c r="Y160" s="33"/>
      <c r="Z160" s="32"/>
      <c r="AA160" s="32"/>
      <c r="AB160" s="33"/>
      <c r="AC160" s="24"/>
      <c r="AD160" s="272">
        <v>804965</v>
      </c>
      <c r="AE160" s="273">
        <f>+(+AD159+AD160)/AA159</f>
        <v>0.669999620285485</v>
      </c>
      <c r="AF160" s="274">
        <v>45834</v>
      </c>
      <c r="AG160" s="272"/>
      <c r="AH160" s="272">
        <f>+H159*10000-AH159</f>
        <v>697326</v>
      </c>
      <c r="AI160" s="272"/>
      <c r="AJ160" s="272"/>
      <c r="AK160" s="272">
        <f>+AD160-AH160</f>
        <v>107639</v>
      </c>
      <c r="AL160" s="275"/>
      <c r="AM160" s="275"/>
      <c r="AN160" s="275"/>
      <c r="AO160" s="276"/>
    </row>
    <row r="161" s="1" customFormat="1" ht="21" customHeight="1" spans="1:42">
      <c r="A161" s="287"/>
      <c r="B161" s="12"/>
      <c r="C161" s="12"/>
      <c r="D161" s="288"/>
      <c r="E161" s="14"/>
      <c r="F161" s="12"/>
      <c r="G161" s="29"/>
      <c r="H161" s="29"/>
      <c r="I161" s="29"/>
      <c r="J161" s="29"/>
      <c r="K161" s="29"/>
      <c r="L161" s="12"/>
      <c r="M161" s="12"/>
      <c r="N161" s="30"/>
      <c r="O161" s="17"/>
      <c r="P161" s="31"/>
      <c r="Q161" s="19"/>
      <c r="R161" s="20"/>
      <c r="S161" s="21"/>
      <c r="T161" s="27"/>
      <c r="U161" s="27"/>
      <c r="V161" s="27"/>
      <c r="W161" s="27"/>
      <c r="X161" s="33"/>
      <c r="Y161" s="33"/>
      <c r="Z161" s="32"/>
      <c r="AA161" s="32"/>
      <c r="AB161" s="33"/>
      <c r="AC161" s="24"/>
      <c r="AD161" s="277">
        <v>239314</v>
      </c>
      <c r="AE161" s="278">
        <f>+(AD161+AD160+AD159)/AA159</f>
        <v>0.779999619687943</v>
      </c>
      <c r="AF161" s="279">
        <v>45869</v>
      </c>
      <c r="AG161" s="277"/>
      <c r="AH161" s="277">
        <v>239314</v>
      </c>
      <c r="AI161" s="277"/>
      <c r="AJ161" s="277"/>
      <c r="AK161" s="277">
        <f>239314-AH161</f>
        <v>0</v>
      </c>
      <c r="AL161" s="277"/>
      <c r="AM161" s="277"/>
      <c r="AN161" s="277"/>
      <c r="AO161" s="280">
        <f>-AH161</f>
        <v>-239314</v>
      </c>
    </row>
    <row r="162" s="1" customFormat="1" ht="21" customHeight="1" spans="1:42">
      <c r="A162" s="289"/>
      <c r="B162" s="12"/>
      <c r="C162" s="12"/>
      <c r="D162" s="290"/>
      <c r="E162" s="14"/>
      <c r="F162" s="12"/>
      <c r="G162" s="36"/>
      <c r="H162" s="36"/>
      <c r="I162" s="36"/>
      <c r="J162" s="36"/>
      <c r="K162" s="36"/>
      <c r="L162" s="12"/>
      <c r="M162" s="12"/>
      <c r="N162" s="30"/>
      <c r="O162" s="17"/>
      <c r="P162" s="31"/>
      <c r="Q162" s="19"/>
      <c r="R162" s="20"/>
      <c r="S162" s="21"/>
      <c r="T162" s="34"/>
      <c r="U162" s="34"/>
      <c r="V162" s="34"/>
      <c r="W162" s="34"/>
      <c r="X162" s="38"/>
      <c r="Y162" s="38"/>
      <c r="Z162" s="37"/>
      <c r="AA162" s="37"/>
      <c r="AB162" s="38"/>
      <c r="AC162" s="24"/>
      <c r="AD162" s="281"/>
      <c r="AE162" s="282"/>
      <c r="AF162" s="281"/>
      <c r="AG162" s="281"/>
      <c r="AH162" s="281"/>
      <c r="AI162" s="281"/>
      <c r="AJ162" s="281"/>
      <c r="AK162" s="281"/>
      <c r="AL162" s="281"/>
      <c r="AM162" s="281"/>
      <c r="AN162" s="281"/>
      <c r="AO162" s="283">
        <f>+AP159</f>
        <v>224418.17</v>
      </c>
    </row>
    <row r="163" s="1" customFormat="1" ht="21" customHeight="1" spans="1:42">
      <c r="A163" s="11">
        <v>40</v>
      </c>
      <c r="B163" s="12" t="s">
        <v>42</v>
      </c>
      <c r="C163" s="12" t="s">
        <v>43</v>
      </c>
      <c r="D163" s="13" t="s">
        <v>134</v>
      </c>
      <c r="E163" s="14" t="s">
        <v>45</v>
      </c>
      <c r="F163" s="12" t="s">
        <v>135</v>
      </c>
      <c r="G163" s="15">
        <v>80</v>
      </c>
      <c r="H163" s="15">
        <v>45</v>
      </c>
      <c r="I163" s="15"/>
      <c r="J163" s="15"/>
      <c r="K163" s="15">
        <v>35</v>
      </c>
      <c r="L163" s="12" t="s">
        <v>47</v>
      </c>
      <c r="M163" s="12" t="str">
        <f>F163</f>
        <v>陈曹乡袁庄村</v>
      </c>
      <c r="N163" s="30" t="s">
        <v>130</v>
      </c>
      <c r="O163" s="17">
        <v>45809</v>
      </c>
      <c r="P163" s="31" t="s">
        <v>49</v>
      </c>
      <c r="Q163" s="19" t="s">
        <v>50</v>
      </c>
      <c r="R163" s="20" t="s">
        <v>51</v>
      </c>
      <c r="S163" s="21"/>
      <c r="T163" s="11">
        <f>+H163+AH165/10000</f>
        <v>52.9772</v>
      </c>
      <c r="U163" s="11">
        <f>+I163</f>
        <v>0</v>
      </c>
      <c r="V163" s="11">
        <f>+J163</f>
        <v>0</v>
      </c>
      <c r="W163" s="11">
        <f>+K163-AH165/10000</f>
        <v>27.0228</v>
      </c>
      <c r="X163" s="23">
        <v>745184.36</v>
      </c>
      <c r="Y163" s="23">
        <v>745184.36</v>
      </c>
      <c r="Z163" s="22">
        <v>725193.97</v>
      </c>
      <c r="AA163" s="22">
        <v>725193.97</v>
      </c>
      <c r="AB163" s="23"/>
      <c r="AC163" s="24"/>
      <c r="AD163" s="268">
        <v>217558</v>
      </c>
      <c r="AE163" s="269">
        <f>+AD163/AA163</f>
        <v>0.29999973662219</v>
      </c>
      <c r="AF163" s="270">
        <v>45834</v>
      </c>
      <c r="AG163" s="268"/>
      <c r="AH163" s="268">
        <f>+AD163</f>
        <v>217558</v>
      </c>
      <c r="AI163" s="268"/>
      <c r="AJ163" s="268"/>
      <c r="AK163" s="268"/>
      <c r="AL163" s="268"/>
      <c r="AM163" s="268"/>
      <c r="AN163" s="268"/>
      <c r="AO163" s="271">
        <f>+G163*10000-AA163</f>
        <v>74806.03</v>
      </c>
      <c r="AP163" s="1">
        <f>+G163*10000-AA163</f>
        <v>74806.03</v>
      </c>
    </row>
    <row r="164" s="1" customFormat="1" ht="21" customHeight="1" spans="1:42">
      <c r="A164" s="27"/>
      <c r="B164" s="12"/>
      <c r="C164" s="12"/>
      <c r="D164" s="28"/>
      <c r="E164" s="14"/>
      <c r="F164" s="12"/>
      <c r="G164" s="29"/>
      <c r="H164" s="29"/>
      <c r="I164" s="29"/>
      <c r="J164" s="29"/>
      <c r="K164" s="29"/>
      <c r="L164" s="12"/>
      <c r="M164" s="12"/>
      <c r="N164" s="30"/>
      <c r="O164" s="17"/>
      <c r="P164" s="31"/>
      <c r="Q164" s="19"/>
      <c r="R164" s="20"/>
      <c r="S164" s="21"/>
      <c r="T164" s="27"/>
      <c r="U164" s="27"/>
      <c r="V164" s="27"/>
      <c r="W164" s="27"/>
      <c r="X164" s="33"/>
      <c r="Y164" s="33"/>
      <c r="Z164" s="32"/>
      <c r="AA164" s="32"/>
      <c r="AB164" s="33"/>
      <c r="AC164" s="24"/>
      <c r="AD164" s="272">
        <v>268321</v>
      </c>
      <c r="AE164" s="273">
        <f>+(+AD163+AD164)/AA163</f>
        <v>0.669998676354135</v>
      </c>
      <c r="AF164" s="274">
        <v>45834</v>
      </c>
      <c r="AG164" s="272"/>
      <c r="AH164" s="272">
        <f>+H163*10000-AH163</f>
        <v>232442</v>
      </c>
      <c r="AI164" s="272"/>
      <c r="AJ164" s="272"/>
      <c r="AK164" s="272">
        <f>+AD164-AH164</f>
        <v>35879</v>
      </c>
      <c r="AL164" s="275"/>
      <c r="AM164" s="275"/>
      <c r="AN164" s="275"/>
      <c r="AO164" s="276"/>
    </row>
    <row r="165" s="1" customFormat="1" ht="21" customHeight="1" spans="1:42">
      <c r="A165" s="27"/>
      <c r="B165" s="12"/>
      <c r="C165" s="12"/>
      <c r="D165" s="28"/>
      <c r="E165" s="14"/>
      <c r="F165" s="12"/>
      <c r="G165" s="29"/>
      <c r="H165" s="29"/>
      <c r="I165" s="29"/>
      <c r="J165" s="29"/>
      <c r="K165" s="29"/>
      <c r="L165" s="12"/>
      <c r="M165" s="12"/>
      <c r="N165" s="30"/>
      <c r="O165" s="17"/>
      <c r="P165" s="31"/>
      <c r="Q165" s="19"/>
      <c r="R165" s="20"/>
      <c r="S165" s="21"/>
      <c r="T165" s="27"/>
      <c r="U165" s="27"/>
      <c r="V165" s="27"/>
      <c r="W165" s="27"/>
      <c r="X165" s="33"/>
      <c r="Y165" s="33"/>
      <c r="Z165" s="32"/>
      <c r="AA165" s="32"/>
      <c r="AB165" s="33"/>
      <c r="AC165" s="24"/>
      <c r="AD165" s="277">
        <v>79772</v>
      </c>
      <c r="AE165" s="278">
        <f>+(AD165+AD164+AD163)/AA163</f>
        <v>0.779999591005976</v>
      </c>
      <c r="AF165" s="279">
        <v>45869</v>
      </c>
      <c r="AG165" s="277"/>
      <c r="AH165" s="277">
        <v>79772</v>
      </c>
      <c r="AI165" s="277"/>
      <c r="AJ165" s="277"/>
      <c r="AK165" s="277">
        <f>79772-AH165</f>
        <v>0</v>
      </c>
      <c r="AL165" s="277"/>
      <c r="AM165" s="277"/>
      <c r="AN165" s="277"/>
      <c r="AO165" s="280">
        <f>-AH165</f>
        <v>-79772</v>
      </c>
    </row>
    <row r="166" s="1" customFormat="1" ht="21" customHeight="1" spans="1:42">
      <c r="A166" s="34"/>
      <c r="B166" s="12"/>
      <c r="C166" s="12"/>
      <c r="D166" s="35"/>
      <c r="E166" s="14"/>
      <c r="F166" s="12"/>
      <c r="G166" s="36"/>
      <c r="H166" s="36"/>
      <c r="I166" s="36"/>
      <c r="J166" s="36"/>
      <c r="K166" s="36"/>
      <c r="L166" s="12"/>
      <c r="M166" s="12"/>
      <c r="N166" s="30"/>
      <c r="O166" s="17"/>
      <c r="P166" s="31"/>
      <c r="Q166" s="19"/>
      <c r="R166" s="20"/>
      <c r="S166" s="21"/>
      <c r="T166" s="34"/>
      <c r="U166" s="34"/>
      <c r="V166" s="34"/>
      <c r="W166" s="34"/>
      <c r="X166" s="38"/>
      <c r="Y166" s="38"/>
      <c r="Z166" s="37"/>
      <c r="AA166" s="37"/>
      <c r="AB166" s="38"/>
      <c r="AC166" s="24"/>
      <c r="AD166" s="281"/>
      <c r="AE166" s="282"/>
      <c r="AF166" s="281"/>
      <c r="AG166" s="281"/>
      <c r="AH166" s="281"/>
      <c r="AI166" s="281"/>
      <c r="AJ166" s="281"/>
      <c r="AK166" s="281"/>
      <c r="AL166" s="281"/>
      <c r="AM166" s="281"/>
      <c r="AN166" s="281"/>
      <c r="AO166" s="283">
        <f>+AP163</f>
        <v>74806.03</v>
      </c>
    </row>
    <row r="167" s="1" customFormat="1" ht="21" customHeight="1" spans="1:42">
      <c r="A167" s="11">
        <v>41</v>
      </c>
      <c r="B167" s="12" t="s">
        <v>42</v>
      </c>
      <c r="C167" s="12" t="s">
        <v>43</v>
      </c>
      <c r="D167" s="13" t="s">
        <v>136</v>
      </c>
      <c r="E167" s="14" t="s">
        <v>45</v>
      </c>
      <c r="F167" s="12" t="s">
        <v>137</v>
      </c>
      <c r="G167" s="15">
        <v>80</v>
      </c>
      <c r="H167" s="15">
        <v>45</v>
      </c>
      <c r="I167" s="15"/>
      <c r="J167" s="15"/>
      <c r="K167" s="15">
        <v>35</v>
      </c>
      <c r="L167" s="12" t="s">
        <v>47</v>
      </c>
      <c r="M167" s="12" t="str">
        <f>F167</f>
        <v>将官池镇秋湖村</v>
      </c>
      <c r="N167" s="30" t="s">
        <v>138</v>
      </c>
      <c r="O167" s="17">
        <v>45809</v>
      </c>
      <c r="P167" s="31" t="s">
        <v>49</v>
      </c>
      <c r="Q167" s="19" t="s">
        <v>50</v>
      </c>
      <c r="R167" s="20" t="s">
        <v>51</v>
      </c>
      <c r="S167" s="21"/>
      <c r="T167" s="11">
        <f>+H167+AH169/10000</f>
        <v>52.9772</v>
      </c>
      <c r="U167" s="11">
        <f>+I167</f>
        <v>0</v>
      </c>
      <c r="V167" s="11">
        <f>+J167</f>
        <v>0</v>
      </c>
      <c r="W167" s="11">
        <f>+K167-AH169/10000</f>
        <v>27.0228</v>
      </c>
      <c r="X167" s="23">
        <v>745184.36</v>
      </c>
      <c r="Y167" s="23">
        <v>745184.36</v>
      </c>
      <c r="Z167" s="22">
        <v>725193.97</v>
      </c>
      <c r="AA167" s="22">
        <v>725193.97</v>
      </c>
      <c r="AB167" s="23"/>
      <c r="AC167" s="24"/>
      <c r="AD167" s="268">
        <v>217558</v>
      </c>
      <c r="AE167" s="269">
        <f>+AD167/AA167</f>
        <v>0.29999973662219</v>
      </c>
      <c r="AF167" s="270">
        <v>45834</v>
      </c>
      <c r="AG167" s="268"/>
      <c r="AH167" s="268">
        <f>+AD167</f>
        <v>217558</v>
      </c>
      <c r="AI167" s="268"/>
      <c r="AJ167" s="268"/>
      <c r="AK167" s="268"/>
      <c r="AL167" s="268"/>
      <c r="AM167" s="268"/>
      <c r="AN167" s="268"/>
      <c r="AO167" s="271">
        <f>+G167*10000-AA167</f>
        <v>74806.03</v>
      </c>
      <c r="AP167" s="1">
        <f>+G167*10000-AA167</f>
        <v>74806.03</v>
      </c>
    </row>
    <row r="168" s="1" customFormat="1" ht="21" customHeight="1" spans="1:42">
      <c r="A168" s="27"/>
      <c r="B168" s="12"/>
      <c r="C168" s="12"/>
      <c r="D168" s="28"/>
      <c r="E168" s="14"/>
      <c r="F168" s="12"/>
      <c r="G168" s="29"/>
      <c r="H168" s="29"/>
      <c r="I168" s="29"/>
      <c r="J168" s="29"/>
      <c r="K168" s="29"/>
      <c r="L168" s="12"/>
      <c r="M168" s="12"/>
      <c r="N168" s="30"/>
      <c r="O168" s="17"/>
      <c r="P168" s="31"/>
      <c r="Q168" s="19"/>
      <c r="R168" s="20"/>
      <c r="S168" s="21"/>
      <c r="T168" s="27"/>
      <c r="U168" s="27"/>
      <c r="V168" s="27"/>
      <c r="W168" s="27"/>
      <c r="X168" s="33"/>
      <c r="Y168" s="33"/>
      <c r="Z168" s="32"/>
      <c r="AA168" s="32"/>
      <c r="AB168" s="33"/>
      <c r="AC168" s="24"/>
      <c r="AD168" s="272">
        <v>268321</v>
      </c>
      <c r="AE168" s="273">
        <f>+(+AD167+AD168)/AA167</f>
        <v>0.669998676354135</v>
      </c>
      <c r="AF168" s="274">
        <v>45834</v>
      </c>
      <c r="AG168" s="272"/>
      <c r="AH168" s="272">
        <f>+H167*10000-AH167</f>
        <v>232442</v>
      </c>
      <c r="AI168" s="272"/>
      <c r="AJ168" s="272"/>
      <c r="AK168" s="272">
        <f>+AD168-AH168</f>
        <v>35879</v>
      </c>
      <c r="AL168" s="275"/>
      <c r="AM168" s="275"/>
      <c r="AN168" s="275"/>
      <c r="AO168" s="276"/>
    </row>
    <row r="169" s="1" customFormat="1" ht="21" customHeight="1" spans="1:42">
      <c r="A169" s="27"/>
      <c r="B169" s="12"/>
      <c r="C169" s="12"/>
      <c r="D169" s="28"/>
      <c r="E169" s="14"/>
      <c r="F169" s="12"/>
      <c r="G169" s="29"/>
      <c r="H169" s="29"/>
      <c r="I169" s="29"/>
      <c r="J169" s="29"/>
      <c r="K169" s="29"/>
      <c r="L169" s="12"/>
      <c r="M169" s="12"/>
      <c r="N169" s="30"/>
      <c r="O169" s="17"/>
      <c r="P169" s="31"/>
      <c r="Q169" s="19"/>
      <c r="R169" s="20"/>
      <c r="S169" s="21"/>
      <c r="T169" s="27"/>
      <c r="U169" s="27"/>
      <c r="V169" s="27"/>
      <c r="W169" s="27"/>
      <c r="X169" s="33"/>
      <c r="Y169" s="33"/>
      <c r="Z169" s="32"/>
      <c r="AA169" s="32"/>
      <c r="AB169" s="33"/>
      <c r="AC169" s="24"/>
      <c r="AD169" s="277">
        <v>79772</v>
      </c>
      <c r="AE169" s="278">
        <f>+(AD169+AD168+AD167)/AA167</f>
        <v>0.779999591005976</v>
      </c>
      <c r="AF169" s="279">
        <v>45869</v>
      </c>
      <c r="AG169" s="277"/>
      <c r="AH169" s="277">
        <v>79772</v>
      </c>
      <c r="AI169" s="277"/>
      <c r="AJ169" s="277"/>
      <c r="AK169" s="277">
        <f>79772-AH169</f>
        <v>0</v>
      </c>
      <c r="AL169" s="277"/>
      <c r="AM169" s="277"/>
      <c r="AN169" s="277"/>
      <c r="AO169" s="280">
        <f>-AH169</f>
        <v>-79772</v>
      </c>
    </row>
    <row r="170" s="1" customFormat="1" ht="21" customHeight="1" spans="1:42">
      <c r="A170" s="34"/>
      <c r="B170" s="12"/>
      <c r="C170" s="12"/>
      <c r="D170" s="35"/>
      <c r="E170" s="14"/>
      <c r="F170" s="12"/>
      <c r="G170" s="36"/>
      <c r="H170" s="36"/>
      <c r="I170" s="36"/>
      <c r="J170" s="36"/>
      <c r="K170" s="36"/>
      <c r="L170" s="12"/>
      <c r="M170" s="12"/>
      <c r="N170" s="30"/>
      <c r="O170" s="17"/>
      <c r="P170" s="31"/>
      <c r="Q170" s="19"/>
      <c r="R170" s="20"/>
      <c r="S170" s="21"/>
      <c r="T170" s="34"/>
      <c r="U170" s="34"/>
      <c r="V170" s="34"/>
      <c r="W170" s="34"/>
      <c r="X170" s="38"/>
      <c r="Y170" s="38"/>
      <c r="Z170" s="37"/>
      <c r="AA170" s="37"/>
      <c r="AB170" s="38"/>
      <c r="AC170" s="24"/>
      <c r="AD170" s="281"/>
      <c r="AE170" s="282"/>
      <c r="AF170" s="281"/>
      <c r="AG170" s="281"/>
      <c r="AH170" s="281"/>
      <c r="AI170" s="281"/>
      <c r="AJ170" s="281"/>
      <c r="AK170" s="281"/>
      <c r="AL170" s="281"/>
      <c r="AM170" s="281"/>
      <c r="AN170" s="281"/>
      <c r="AO170" s="283">
        <f>+AP167</f>
        <v>74806.03</v>
      </c>
    </row>
    <row r="171" s="1" customFormat="1" ht="21" customHeight="1" spans="1:42">
      <c r="A171" s="11">
        <v>42</v>
      </c>
      <c r="B171" s="12" t="s">
        <v>42</v>
      </c>
      <c r="C171" s="12" t="s">
        <v>43</v>
      </c>
      <c r="D171" s="13" t="s">
        <v>139</v>
      </c>
      <c r="E171" s="14" t="s">
        <v>45</v>
      </c>
      <c r="F171" s="12" t="s">
        <v>140</v>
      </c>
      <c r="G171" s="15">
        <v>80</v>
      </c>
      <c r="H171" s="15">
        <v>45</v>
      </c>
      <c r="I171" s="15"/>
      <c r="J171" s="15"/>
      <c r="K171" s="15">
        <v>35</v>
      </c>
      <c r="L171" s="12" t="s">
        <v>47</v>
      </c>
      <c r="M171" s="12" t="str">
        <f>F171</f>
        <v>将官池镇湖徐村</v>
      </c>
      <c r="N171" s="30" t="s">
        <v>138</v>
      </c>
      <c r="O171" s="17">
        <v>45809</v>
      </c>
      <c r="P171" s="31" t="s">
        <v>49</v>
      </c>
      <c r="Q171" s="19" t="s">
        <v>50</v>
      </c>
      <c r="R171" s="20" t="s">
        <v>51</v>
      </c>
      <c r="S171" s="21"/>
      <c r="T171" s="11">
        <f>+H171+AH173/10000</f>
        <v>52.3925</v>
      </c>
      <c r="U171" s="11">
        <f>+I171</f>
        <v>0</v>
      </c>
      <c r="V171" s="11">
        <f>+J171</f>
        <v>0</v>
      </c>
      <c r="W171" s="11">
        <f>+K171-AH173/10000</f>
        <v>27.6075</v>
      </c>
      <c r="X171" s="23">
        <v>692035.64</v>
      </c>
      <c r="Y171" s="23">
        <v>692035.64</v>
      </c>
      <c r="Z171" s="22">
        <v>672045.24</v>
      </c>
      <c r="AA171" s="22">
        <v>672045.24</v>
      </c>
      <c r="AB171" s="23"/>
      <c r="AC171" s="24"/>
      <c r="AD171" s="268">
        <v>201613</v>
      </c>
      <c r="AE171" s="269">
        <f>+AD171/AA171</f>
        <v>0.299999148866823</v>
      </c>
      <c r="AF171" s="270">
        <v>45834</v>
      </c>
      <c r="AG171" s="268"/>
      <c r="AH171" s="268">
        <f>+AD171</f>
        <v>201613</v>
      </c>
      <c r="AI171" s="268"/>
      <c r="AJ171" s="268"/>
      <c r="AK171" s="268"/>
      <c r="AL171" s="268"/>
      <c r="AM171" s="268"/>
      <c r="AN171" s="268"/>
      <c r="AO171" s="271">
        <f>+G171*10000-AA171</f>
        <v>127954.76</v>
      </c>
      <c r="AP171" s="1">
        <f>+G171*10000-AA171</f>
        <v>127954.76</v>
      </c>
    </row>
    <row r="172" s="1" customFormat="1" ht="21" customHeight="1" spans="1:42">
      <c r="A172" s="27"/>
      <c r="B172" s="12"/>
      <c r="C172" s="12"/>
      <c r="D172" s="28"/>
      <c r="E172" s="14"/>
      <c r="F172" s="12"/>
      <c r="G172" s="29"/>
      <c r="H172" s="29"/>
      <c r="I172" s="29"/>
      <c r="J172" s="29"/>
      <c r="K172" s="29"/>
      <c r="L172" s="12"/>
      <c r="M172" s="12"/>
      <c r="N172" s="30"/>
      <c r="O172" s="17"/>
      <c r="P172" s="31"/>
      <c r="Q172" s="19"/>
      <c r="R172" s="20"/>
      <c r="S172" s="21"/>
      <c r="T172" s="27"/>
      <c r="U172" s="27"/>
      <c r="V172" s="27"/>
      <c r="W172" s="27"/>
      <c r="X172" s="33"/>
      <c r="Y172" s="33"/>
      <c r="Z172" s="32"/>
      <c r="AA172" s="32"/>
      <c r="AB172" s="33"/>
      <c r="AC172" s="24"/>
      <c r="AD172" s="272">
        <v>248657</v>
      </c>
      <c r="AE172" s="273">
        <f>+(+AD171+AD172)/AA171</f>
        <v>0.669999537531134</v>
      </c>
      <c r="AF172" s="274">
        <v>45834</v>
      </c>
      <c r="AG172" s="272"/>
      <c r="AH172" s="272">
        <f>+H171*10000-AH171</f>
        <v>248387</v>
      </c>
      <c r="AI172" s="272"/>
      <c r="AJ172" s="272"/>
      <c r="AK172" s="272">
        <f>+AD172-AH172</f>
        <v>270</v>
      </c>
      <c r="AL172" s="275"/>
      <c r="AM172" s="275"/>
      <c r="AN172" s="275"/>
      <c r="AO172" s="276"/>
    </row>
    <row r="173" s="1" customFormat="1" ht="21" customHeight="1" spans="1:42">
      <c r="A173" s="27"/>
      <c r="B173" s="12"/>
      <c r="C173" s="12"/>
      <c r="D173" s="28"/>
      <c r="E173" s="14"/>
      <c r="F173" s="12"/>
      <c r="G173" s="29"/>
      <c r="H173" s="29"/>
      <c r="I173" s="29"/>
      <c r="J173" s="29"/>
      <c r="K173" s="29"/>
      <c r="L173" s="12"/>
      <c r="M173" s="12"/>
      <c r="N173" s="30"/>
      <c r="O173" s="17"/>
      <c r="P173" s="31"/>
      <c r="Q173" s="19"/>
      <c r="R173" s="20"/>
      <c r="S173" s="21"/>
      <c r="T173" s="27"/>
      <c r="U173" s="27"/>
      <c r="V173" s="27"/>
      <c r="W173" s="27"/>
      <c r="X173" s="33"/>
      <c r="Y173" s="33"/>
      <c r="Z173" s="32"/>
      <c r="AA173" s="32"/>
      <c r="AB173" s="33"/>
      <c r="AC173" s="24"/>
      <c r="AD173" s="277">
        <v>73925</v>
      </c>
      <c r="AE173" s="278">
        <f>+(AD173+AD172+AD171)/AA171</f>
        <v>0.779999572647818</v>
      </c>
      <c r="AF173" s="279">
        <v>45869</v>
      </c>
      <c r="AG173" s="277"/>
      <c r="AH173" s="277">
        <v>73925</v>
      </c>
      <c r="AI173" s="277"/>
      <c r="AJ173" s="277"/>
      <c r="AK173" s="277">
        <f>73925-AH173</f>
        <v>0</v>
      </c>
      <c r="AL173" s="277"/>
      <c r="AM173" s="277"/>
      <c r="AN173" s="277"/>
      <c r="AO173" s="280">
        <f>-AH173</f>
        <v>-73925</v>
      </c>
    </row>
    <row r="174" s="1" customFormat="1" ht="21" customHeight="1" spans="1:42">
      <c r="A174" s="34"/>
      <c r="B174" s="12"/>
      <c r="C174" s="12"/>
      <c r="D174" s="35"/>
      <c r="E174" s="14"/>
      <c r="F174" s="12"/>
      <c r="G174" s="36"/>
      <c r="H174" s="36"/>
      <c r="I174" s="36"/>
      <c r="J174" s="36"/>
      <c r="K174" s="36"/>
      <c r="L174" s="12"/>
      <c r="M174" s="12"/>
      <c r="N174" s="30"/>
      <c r="O174" s="17"/>
      <c r="P174" s="31"/>
      <c r="Q174" s="19"/>
      <c r="R174" s="20"/>
      <c r="S174" s="21"/>
      <c r="T174" s="34"/>
      <c r="U174" s="34"/>
      <c r="V174" s="34"/>
      <c r="W174" s="34"/>
      <c r="X174" s="38"/>
      <c r="Y174" s="38"/>
      <c r="Z174" s="37"/>
      <c r="AA174" s="37"/>
      <c r="AB174" s="38"/>
      <c r="AC174" s="24"/>
      <c r="AD174" s="281"/>
      <c r="AE174" s="282"/>
      <c r="AF174" s="281"/>
      <c r="AG174" s="281"/>
      <c r="AH174" s="281"/>
      <c r="AI174" s="281"/>
      <c r="AJ174" s="281"/>
      <c r="AK174" s="281"/>
      <c r="AL174" s="281"/>
      <c r="AM174" s="281"/>
      <c r="AN174" s="281"/>
      <c r="AO174" s="283">
        <f>+AP171</f>
        <v>127954.76</v>
      </c>
    </row>
    <row r="175" s="1" customFormat="1" ht="21" customHeight="1" spans="1:42">
      <c r="A175" s="11">
        <v>43</v>
      </c>
      <c r="B175" s="12" t="s">
        <v>42</v>
      </c>
      <c r="C175" s="12" t="s">
        <v>43</v>
      </c>
      <c r="D175" s="13" t="s">
        <v>141</v>
      </c>
      <c r="E175" s="14" t="s">
        <v>142</v>
      </c>
      <c r="F175" s="12" t="s">
        <v>143</v>
      </c>
      <c r="G175" s="15">
        <v>160</v>
      </c>
      <c r="H175" s="15">
        <v>90</v>
      </c>
      <c r="I175" s="15"/>
      <c r="J175" s="15"/>
      <c r="K175" s="15">
        <v>70</v>
      </c>
      <c r="L175" s="12" t="s">
        <v>47</v>
      </c>
      <c r="M175" s="12" t="str">
        <f>F175</f>
        <v>河街乡大路李村</v>
      </c>
      <c r="N175" s="30" t="s">
        <v>144</v>
      </c>
      <c r="O175" s="17">
        <v>45809</v>
      </c>
      <c r="P175" s="31" t="s">
        <v>49</v>
      </c>
      <c r="Q175" s="19" t="s">
        <v>50</v>
      </c>
      <c r="R175" s="20" t="s">
        <v>51</v>
      </c>
      <c r="S175" s="21"/>
      <c r="T175" s="11">
        <f>+H175+AH177/10000</f>
        <v>105.8299</v>
      </c>
      <c r="U175" s="11">
        <f>+I175</f>
        <v>0</v>
      </c>
      <c r="V175" s="11">
        <f>+J175</f>
        <v>0</v>
      </c>
      <c r="W175" s="11">
        <f>+K175-AH177/10000</f>
        <v>54.1701</v>
      </c>
      <c r="X175" s="23">
        <v>1486167.29</v>
      </c>
      <c r="Y175" s="23">
        <v>1486167.29</v>
      </c>
      <c r="Z175" s="22">
        <v>1439079.67</v>
      </c>
      <c r="AA175" s="22">
        <v>1439079.67</v>
      </c>
      <c r="AB175" s="23"/>
      <c r="AC175" s="24"/>
      <c r="AD175" s="268">
        <v>431723</v>
      </c>
      <c r="AE175" s="269">
        <f>+AD175/AA175</f>
        <v>0.299999373905407</v>
      </c>
      <c r="AF175" s="270">
        <v>45834</v>
      </c>
      <c r="AG175" s="268"/>
      <c r="AH175" s="268">
        <f>+AD175</f>
        <v>431723</v>
      </c>
      <c r="AI175" s="268"/>
      <c r="AJ175" s="268"/>
      <c r="AK175" s="268"/>
      <c r="AL175" s="268"/>
      <c r="AM175" s="268"/>
      <c r="AN175" s="268"/>
      <c r="AO175" s="271">
        <f>+G175*10000-AA175</f>
        <v>160920.33</v>
      </c>
      <c r="AP175" s="1">
        <f>+G175*10000-AA175</f>
        <v>160920.33</v>
      </c>
    </row>
    <row r="176" s="1" customFormat="1" ht="21" customHeight="1" spans="1:42">
      <c r="A176" s="27"/>
      <c r="B176" s="12"/>
      <c r="C176" s="12"/>
      <c r="D176" s="28"/>
      <c r="E176" s="14"/>
      <c r="F176" s="12"/>
      <c r="G176" s="29"/>
      <c r="H176" s="29"/>
      <c r="I176" s="29"/>
      <c r="J176" s="29"/>
      <c r="K176" s="29"/>
      <c r="L176" s="12"/>
      <c r="M176" s="12"/>
      <c r="N176" s="30"/>
      <c r="O176" s="17"/>
      <c r="P176" s="31"/>
      <c r="Q176" s="19"/>
      <c r="R176" s="20"/>
      <c r="S176" s="21"/>
      <c r="T176" s="27"/>
      <c r="U176" s="27"/>
      <c r="V176" s="27"/>
      <c r="W176" s="27"/>
      <c r="X176" s="33"/>
      <c r="Y176" s="33"/>
      <c r="Z176" s="32"/>
      <c r="AA176" s="32"/>
      <c r="AB176" s="33"/>
      <c r="AC176" s="24"/>
      <c r="AD176" s="272">
        <v>532460</v>
      </c>
      <c r="AE176" s="273">
        <f>+(+AD175+AD176)/AA175</f>
        <v>0.669999736706725</v>
      </c>
      <c r="AF176" s="274">
        <v>45834</v>
      </c>
      <c r="AG176" s="272"/>
      <c r="AH176" s="272">
        <f>+H175*10000-AH175</f>
        <v>468277</v>
      </c>
      <c r="AI176" s="272"/>
      <c r="AJ176" s="272"/>
      <c r="AK176" s="272">
        <f>+AD176-AH176</f>
        <v>64183</v>
      </c>
      <c r="AL176" s="275"/>
      <c r="AM176" s="275"/>
      <c r="AN176" s="275"/>
      <c r="AO176" s="276"/>
    </row>
    <row r="177" s="1" customFormat="1" ht="21" customHeight="1" spans="1:42">
      <c r="A177" s="27"/>
      <c r="B177" s="12"/>
      <c r="C177" s="12"/>
      <c r="D177" s="28"/>
      <c r="E177" s="14"/>
      <c r="F177" s="12"/>
      <c r="G177" s="29"/>
      <c r="H177" s="29"/>
      <c r="I177" s="29"/>
      <c r="J177" s="29"/>
      <c r="K177" s="29"/>
      <c r="L177" s="12"/>
      <c r="M177" s="12"/>
      <c r="N177" s="30"/>
      <c r="O177" s="17"/>
      <c r="P177" s="31"/>
      <c r="Q177" s="19"/>
      <c r="R177" s="20"/>
      <c r="S177" s="21"/>
      <c r="T177" s="27"/>
      <c r="U177" s="27"/>
      <c r="V177" s="27"/>
      <c r="W177" s="27"/>
      <c r="X177" s="33"/>
      <c r="Y177" s="33"/>
      <c r="Z177" s="32"/>
      <c r="AA177" s="32"/>
      <c r="AB177" s="33"/>
      <c r="AC177" s="24"/>
      <c r="AD177" s="277">
        <v>158299</v>
      </c>
      <c r="AE177" s="278">
        <f>+(AD177+AD176+AD175)/AA175</f>
        <v>0.779999900908891</v>
      </c>
      <c r="AF177" s="279">
        <v>45869</v>
      </c>
      <c r="AG177" s="277"/>
      <c r="AH177" s="277">
        <v>158299</v>
      </c>
      <c r="AI177" s="277"/>
      <c r="AJ177" s="277"/>
      <c r="AK177" s="277">
        <f>158299-AH177</f>
        <v>0</v>
      </c>
      <c r="AL177" s="277"/>
      <c r="AM177" s="277"/>
      <c r="AN177" s="277"/>
      <c r="AO177" s="280">
        <f>-AH177</f>
        <v>-158299</v>
      </c>
    </row>
    <row r="178" s="1" customFormat="1" ht="21" customHeight="1" spans="1:42">
      <c r="A178" s="34"/>
      <c r="B178" s="12"/>
      <c r="C178" s="12"/>
      <c r="D178" s="35"/>
      <c r="E178" s="14"/>
      <c r="F178" s="12"/>
      <c r="G178" s="36"/>
      <c r="H178" s="36"/>
      <c r="I178" s="36"/>
      <c r="J178" s="36"/>
      <c r="K178" s="36"/>
      <c r="L178" s="12"/>
      <c r="M178" s="12"/>
      <c r="N178" s="30"/>
      <c r="O178" s="17"/>
      <c r="P178" s="31"/>
      <c r="Q178" s="19"/>
      <c r="R178" s="20"/>
      <c r="S178" s="21"/>
      <c r="T178" s="34"/>
      <c r="U178" s="34"/>
      <c r="V178" s="34"/>
      <c r="W178" s="34"/>
      <c r="X178" s="38"/>
      <c r="Y178" s="38"/>
      <c r="Z178" s="37"/>
      <c r="AA178" s="37"/>
      <c r="AB178" s="38"/>
      <c r="AC178" s="24"/>
      <c r="AD178" s="281"/>
      <c r="AE178" s="282"/>
      <c r="AF178" s="281"/>
      <c r="AG178" s="281"/>
      <c r="AH178" s="281"/>
      <c r="AI178" s="281"/>
      <c r="AJ178" s="281"/>
      <c r="AK178" s="281"/>
      <c r="AL178" s="281"/>
      <c r="AM178" s="281"/>
      <c r="AN178" s="281"/>
      <c r="AO178" s="283">
        <f>+AP175</f>
        <v>160920.33</v>
      </c>
    </row>
    <row r="179" s="1" customFormat="1" ht="21" customHeight="1" spans="1:42">
      <c r="A179" s="11">
        <v>44</v>
      </c>
      <c r="B179" s="12" t="s">
        <v>42</v>
      </c>
      <c r="C179" s="12" t="s">
        <v>43</v>
      </c>
      <c r="D179" s="13" t="s">
        <v>145</v>
      </c>
      <c r="E179" s="14" t="s">
        <v>45</v>
      </c>
      <c r="F179" s="12" t="s">
        <v>146</v>
      </c>
      <c r="G179" s="15">
        <v>80</v>
      </c>
      <c r="H179" s="15">
        <v>45</v>
      </c>
      <c r="I179" s="15"/>
      <c r="J179" s="15"/>
      <c r="K179" s="15">
        <v>35</v>
      </c>
      <c r="L179" s="12" t="s">
        <v>47</v>
      </c>
      <c r="M179" s="12" t="str">
        <f>F179</f>
        <v>桂村乡周沟村</v>
      </c>
      <c r="N179" s="30" t="s">
        <v>147</v>
      </c>
      <c r="O179" s="17">
        <v>45809</v>
      </c>
      <c r="P179" s="31" t="s">
        <v>49</v>
      </c>
      <c r="Q179" s="19" t="s">
        <v>50</v>
      </c>
      <c r="R179" s="20" t="s">
        <v>51</v>
      </c>
      <c r="S179" s="21"/>
      <c r="T179" s="11">
        <f>+H179+AH181/10000</f>
        <v>52.9149</v>
      </c>
      <c r="U179" s="11">
        <f>+I179</f>
        <v>0</v>
      </c>
      <c r="V179" s="11">
        <f>+J179</f>
        <v>0</v>
      </c>
      <c r="W179" s="11">
        <f>+K179-AH181/10000</f>
        <v>27.0851</v>
      </c>
      <c r="X179" s="23">
        <v>743083.25</v>
      </c>
      <c r="Y179" s="23">
        <v>743083.25</v>
      </c>
      <c r="Z179" s="22">
        <v>719539.45</v>
      </c>
      <c r="AA179" s="22">
        <v>719539.45</v>
      </c>
      <c r="AB179" s="23"/>
      <c r="AC179" s="24"/>
      <c r="AD179" s="268">
        <v>215861</v>
      </c>
      <c r="AE179" s="269">
        <f>+AD179/AA179</f>
        <v>0.299998839535483</v>
      </c>
      <c r="AF179" s="270">
        <v>45834</v>
      </c>
      <c r="AG179" s="268"/>
      <c r="AH179" s="268">
        <f>+AD179</f>
        <v>215861</v>
      </c>
      <c r="AI179" s="268"/>
      <c r="AJ179" s="268"/>
      <c r="AK179" s="268"/>
      <c r="AL179" s="268"/>
      <c r="AM179" s="268"/>
      <c r="AN179" s="268"/>
      <c r="AO179" s="271">
        <f>+G179*10000-AA179</f>
        <v>80460.55</v>
      </c>
      <c r="AP179" s="1">
        <f>+G179*10000-AA179</f>
        <v>80460.55</v>
      </c>
    </row>
    <row r="180" s="1" customFormat="1" ht="21" customHeight="1" spans="1:42">
      <c r="A180" s="27"/>
      <c r="B180" s="12"/>
      <c r="C180" s="12"/>
      <c r="D180" s="28"/>
      <c r="E180" s="14"/>
      <c r="F180" s="12"/>
      <c r="G180" s="29"/>
      <c r="H180" s="29"/>
      <c r="I180" s="29"/>
      <c r="J180" s="29"/>
      <c r="K180" s="29"/>
      <c r="L180" s="12"/>
      <c r="M180" s="12"/>
      <c r="N180" s="30"/>
      <c r="O180" s="17"/>
      <c r="P180" s="31"/>
      <c r="Q180" s="19"/>
      <c r="R180" s="20"/>
      <c r="S180" s="21"/>
      <c r="T180" s="27"/>
      <c r="U180" s="27"/>
      <c r="V180" s="27"/>
      <c r="W180" s="27"/>
      <c r="X180" s="33"/>
      <c r="Y180" s="33"/>
      <c r="Z180" s="32"/>
      <c r="AA180" s="32"/>
      <c r="AB180" s="33"/>
      <c r="AC180" s="24"/>
      <c r="AD180" s="272">
        <v>266230</v>
      </c>
      <c r="AE180" s="273">
        <f>+(+AD179+AD180)/AA179</f>
        <v>0.669999400310852</v>
      </c>
      <c r="AF180" s="274">
        <v>45834</v>
      </c>
      <c r="AG180" s="272"/>
      <c r="AH180" s="272">
        <f>+H179*10000-AH179</f>
        <v>234139</v>
      </c>
      <c r="AI180" s="272"/>
      <c r="AJ180" s="272"/>
      <c r="AK180" s="272">
        <f>+AD180-AH180</f>
        <v>32091</v>
      </c>
      <c r="AL180" s="275"/>
      <c r="AM180" s="275"/>
      <c r="AN180" s="275"/>
      <c r="AO180" s="276"/>
    </row>
    <row r="181" s="1" customFormat="1" ht="21" customHeight="1" spans="1:42">
      <c r="A181" s="27"/>
      <c r="B181" s="12"/>
      <c r="C181" s="12"/>
      <c r="D181" s="28"/>
      <c r="E181" s="14"/>
      <c r="F181" s="12"/>
      <c r="G181" s="29"/>
      <c r="H181" s="29"/>
      <c r="I181" s="29"/>
      <c r="J181" s="29"/>
      <c r="K181" s="29"/>
      <c r="L181" s="12"/>
      <c r="M181" s="12"/>
      <c r="N181" s="30"/>
      <c r="O181" s="17"/>
      <c r="P181" s="31"/>
      <c r="Q181" s="19"/>
      <c r="R181" s="20"/>
      <c r="S181" s="21"/>
      <c r="T181" s="27"/>
      <c r="U181" s="27"/>
      <c r="V181" s="27"/>
      <c r="W181" s="27"/>
      <c r="X181" s="33"/>
      <c r="Y181" s="33"/>
      <c r="Z181" s="32"/>
      <c r="AA181" s="32"/>
      <c r="AB181" s="33"/>
      <c r="AC181" s="24"/>
      <c r="AD181" s="277">
        <v>79149</v>
      </c>
      <c r="AE181" s="278">
        <f>+(AD181+AD180+AD179)/AA179</f>
        <v>0.779998928481267</v>
      </c>
      <c r="AF181" s="279">
        <v>45869</v>
      </c>
      <c r="AG181" s="277"/>
      <c r="AH181" s="277">
        <v>79149</v>
      </c>
      <c r="AI181" s="277"/>
      <c r="AJ181" s="277"/>
      <c r="AK181" s="277">
        <f>79149-AH181</f>
        <v>0</v>
      </c>
      <c r="AL181" s="277"/>
      <c r="AM181" s="277"/>
      <c r="AN181" s="277"/>
      <c r="AO181" s="280">
        <f>-AH181</f>
        <v>-79149</v>
      </c>
    </row>
    <row r="182" s="1" customFormat="1" ht="21" customHeight="1" spans="1:42">
      <c r="A182" s="34"/>
      <c r="B182" s="12"/>
      <c r="C182" s="12"/>
      <c r="D182" s="35"/>
      <c r="E182" s="14"/>
      <c r="F182" s="12"/>
      <c r="G182" s="36"/>
      <c r="H182" s="36"/>
      <c r="I182" s="36"/>
      <c r="J182" s="36"/>
      <c r="K182" s="36"/>
      <c r="L182" s="12"/>
      <c r="M182" s="12"/>
      <c r="N182" s="30"/>
      <c r="O182" s="17"/>
      <c r="P182" s="31"/>
      <c r="Q182" s="19"/>
      <c r="R182" s="20"/>
      <c r="S182" s="21"/>
      <c r="T182" s="34"/>
      <c r="U182" s="34"/>
      <c r="V182" s="34"/>
      <c r="W182" s="34"/>
      <c r="X182" s="38"/>
      <c r="Y182" s="38"/>
      <c r="Z182" s="37"/>
      <c r="AA182" s="37"/>
      <c r="AB182" s="38"/>
      <c r="AC182" s="24"/>
      <c r="AD182" s="281"/>
      <c r="AE182" s="282"/>
      <c r="AF182" s="281"/>
      <c r="AG182" s="281"/>
      <c r="AH182" s="281"/>
      <c r="AI182" s="281"/>
      <c r="AJ182" s="281"/>
      <c r="AK182" s="281"/>
      <c r="AL182" s="281"/>
      <c r="AM182" s="281"/>
      <c r="AN182" s="281"/>
      <c r="AO182" s="283">
        <f>+AP179</f>
        <v>80460.55</v>
      </c>
    </row>
    <row r="183" s="1" customFormat="1" ht="21" customHeight="1" spans="1:42">
      <c r="A183" s="11">
        <v>45</v>
      </c>
      <c r="B183" s="12" t="s">
        <v>42</v>
      </c>
      <c r="C183" s="12" t="s">
        <v>43</v>
      </c>
      <c r="D183" s="13" t="s">
        <v>148</v>
      </c>
      <c r="E183" s="14" t="s">
        <v>132</v>
      </c>
      <c r="F183" s="12" t="s">
        <v>149</v>
      </c>
      <c r="G183" s="15">
        <v>240</v>
      </c>
      <c r="H183" s="15">
        <v>95</v>
      </c>
      <c r="I183" s="15">
        <v>30</v>
      </c>
      <c r="J183" s="15">
        <v>8</v>
      </c>
      <c r="K183" s="15">
        <v>107</v>
      </c>
      <c r="L183" s="12" t="s">
        <v>47</v>
      </c>
      <c r="M183" s="12" t="str">
        <f>F183</f>
        <v>桂村乡吕庄村</v>
      </c>
      <c r="N183" s="30" t="s">
        <v>147</v>
      </c>
      <c r="O183" s="17">
        <v>45809</v>
      </c>
      <c r="P183" s="31" t="s">
        <v>49</v>
      </c>
      <c r="Q183" s="19" t="s">
        <v>50</v>
      </c>
      <c r="R183" s="20" t="s">
        <v>51</v>
      </c>
      <c r="S183" s="21"/>
      <c r="T183" s="11">
        <f>+H183+AH185/10000</f>
        <v>118.5402</v>
      </c>
      <c r="U183" s="11">
        <f>+I183</f>
        <v>30</v>
      </c>
      <c r="V183" s="11">
        <f>+J183</f>
        <v>8</v>
      </c>
      <c r="W183" s="11">
        <f>+K183-AH185/10000</f>
        <v>83.4598</v>
      </c>
      <c r="X183" s="23">
        <v>2210651.37</v>
      </c>
      <c r="Y183" s="23">
        <v>2210651.37</v>
      </c>
      <c r="Z183" s="22">
        <v>2140019.96</v>
      </c>
      <c r="AA183" s="22">
        <v>2140019.96</v>
      </c>
      <c r="AB183" s="23"/>
      <c r="AC183" s="24"/>
      <c r="AD183" s="268">
        <v>642005</v>
      </c>
      <c r="AE183" s="269">
        <f>+AD183/AA183</f>
        <v>0.299999538322063</v>
      </c>
      <c r="AF183" s="270">
        <v>45834</v>
      </c>
      <c r="AG183" s="268"/>
      <c r="AH183" s="268">
        <f>+AD183</f>
        <v>642005</v>
      </c>
      <c r="AI183" s="268"/>
      <c r="AJ183" s="268"/>
      <c r="AK183" s="268"/>
      <c r="AL183" s="268"/>
      <c r="AM183" s="268"/>
      <c r="AN183" s="268"/>
      <c r="AO183" s="271">
        <f>+G183*10000-AA183</f>
        <v>259980.04</v>
      </c>
      <c r="AP183" s="1">
        <f>+G183*10000-AA183</f>
        <v>259980.04</v>
      </c>
    </row>
    <row r="184" s="1" customFormat="1" ht="21" customHeight="1" spans="1:42">
      <c r="A184" s="27"/>
      <c r="B184" s="12"/>
      <c r="C184" s="12"/>
      <c r="D184" s="28"/>
      <c r="E184" s="14"/>
      <c r="F184" s="12"/>
      <c r="G184" s="29"/>
      <c r="H184" s="29"/>
      <c r="I184" s="29"/>
      <c r="J184" s="29"/>
      <c r="K184" s="29"/>
      <c r="L184" s="12"/>
      <c r="M184" s="12"/>
      <c r="N184" s="30"/>
      <c r="O184" s="17"/>
      <c r="P184" s="31"/>
      <c r="Q184" s="19"/>
      <c r="R184" s="20"/>
      <c r="S184" s="21"/>
      <c r="T184" s="27"/>
      <c r="U184" s="27"/>
      <c r="V184" s="27"/>
      <c r="W184" s="27"/>
      <c r="X184" s="33"/>
      <c r="Y184" s="33"/>
      <c r="Z184" s="32"/>
      <c r="AA184" s="32"/>
      <c r="AB184" s="33"/>
      <c r="AC184" s="24"/>
      <c r="AD184" s="272">
        <v>791808</v>
      </c>
      <c r="AE184" s="273">
        <f>+(+AD183+AD184)/AA183</f>
        <v>0.669999825609103</v>
      </c>
      <c r="AF184" s="274">
        <v>45834</v>
      </c>
      <c r="AG184" s="272"/>
      <c r="AH184" s="272">
        <f>+H183*10000-AH183</f>
        <v>307995</v>
      </c>
      <c r="AI184" s="272">
        <f>+I183*10000</f>
        <v>300000</v>
      </c>
      <c r="AJ184" s="272">
        <f>+J183*10000</f>
        <v>80000</v>
      </c>
      <c r="AK184" s="272">
        <f>+AD184-AH184-AI184-AJ184</f>
        <v>103813</v>
      </c>
      <c r="AL184" s="275"/>
      <c r="AM184" s="275"/>
      <c r="AN184" s="275"/>
      <c r="AO184" s="276"/>
    </row>
    <row r="185" s="1" customFormat="1" ht="21" customHeight="1" spans="1:42">
      <c r="A185" s="27"/>
      <c r="B185" s="12"/>
      <c r="C185" s="12"/>
      <c r="D185" s="28"/>
      <c r="E185" s="14"/>
      <c r="F185" s="12"/>
      <c r="G185" s="29"/>
      <c r="H185" s="29"/>
      <c r="I185" s="29"/>
      <c r="J185" s="29"/>
      <c r="K185" s="29"/>
      <c r="L185" s="12"/>
      <c r="M185" s="12"/>
      <c r="N185" s="30"/>
      <c r="O185" s="17"/>
      <c r="P185" s="31"/>
      <c r="Q185" s="19"/>
      <c r="R185" s="20"/>
      <c r="S185" s="21"/>
      <c r="T185" s="27"/>
      <c r="U185" s="27"/>
      <c r="V185" s="27"/>
      <c r="W185" s="27"/>
      <c r="X185" s="33"/>
      <c r="Y185" s="33"/>
      <c r="Z185" s="32"/>
      <c r="AA185" s="32"/>
      <c r="AB185" s="33"/>
      <c r="AC185" s="24"/>
      <c r="AD185" s="277">
        <v>235402</v>
      </c>
      <c r="AE185" s="278">
        <f>+(AD185+AD184+AD183)/AA183</f>
        <v>0.779999734208087</v>
      </c>
      <c r="AF185" s="279">
        <v>45869</v>
      </c>
      <c r="AG185" s="277"/>
      <c r="AH185" s="277">
        <v>235402</v>
      </c>
      <c r="AI185" s="277"/>
      <c r="AJ185" s="277"/>
      <c r="AK185" s="277">
        <f>235402-AH185</f>
        <v>0</v>
      </c>
      <c r="AL185" s="277"/>
      <c r="AM185" s="277"/>
      <c r="AN185" s="277"/>
      <c r="AO185" s="280">
        <f>-AH185</f>
        <v>-235402</v>
      </c>
    </row>
    <row r="186" s="1" customFormat="1" ht="21" customHeight="1" spans="1:42">
      <c r="A186" s="34"/>
      <c r="B186" s="12"/>
      <c r="C186" s="12"/>
      <c r="D186" s="35"/>
      <c r="E186" s="14"/>
      <c r="F186" s="12"/>
      <c r="G186" s="36"/>
      <c r="H186" s="36"/>
      <c r="I186" s="36"/>
      <c r="J186" s="36"/>
      <c r="K186" s="36"/>
      <c r="L186" s="12"/>
      <c r="M186" s="12"/>
      <c r="N186" s="30"/>
      <c r="O186" s="17"/>
      <c r="P186" s="31"/>
      <c r="Q186" s="19"/>
      <c r="R186" s="20"/>
      <c r="S186" s="21"/>
      <c r="T186" s="34"/>
      <c r="U186" s="34"/>
      <c r="V186" s="34"/>
      <c r="W186" s="34"/>
      <c r="X186" s="38"/>
      <c r="Y186" s="38"/>
      <c r="Z186" s="37"/>
      <c r="AA186" s="37"/>
      <c r="AB186" s="38"/>
      <c r="AC186" s="24"/>
      <c r="AD186" s="281"/>
      <c r="AE186" s="282"/>
      <c r="AF186" s="281"/>
      <c r="AG186" s="281"/>
      <c r="AH186" s="281"/>
      <c r="AI186" s="281"/>
      <c r="AJ186" s="281"/>
      <c r="AK186" s="281"/>
      <c r="AL186" s="281"/>
      <c r="AM186" s="281"/>
      <c r="AN186" s="281"/>
      <c r="AO186" s="283">
        <f>+AP183</f>
        <v>259980.04</v>
      </c>
    </row>
    <row r="187" s="1" customFormat="1" ht="21" customHeight="1" spans="1:42">
      <c r="A187" s="11">
        <v>46</v>
      </c>
      <c r="B187" s="12" t="s">
        <v>42</v>
      </c>
      <c r="C187" s="12" t="s">
        <v>43</v>
      </c>
      <c r="D187" s="13" t="s">
        <v>150</v>
      </c>
      <c r="E187" s="14" t="s">
        <v>132</v>
      </c>
      <c r="F187" s="12" t="s">
        <v>151</v>
      </c>
      <c r="G187" s="15">
        <v>320</v>
      </c>
      <c r="H187" s="15">
        <v>45</v>
      </c>
      <c r="I187" s="15">
        <v>135</v>
      </c>
      <c r="J187" s="15"/>
      <c r="K187" s="15">
        <v>140</v>
      </c>
      <c r="L187" s="12" t="s">
        <v>47</v>
      </c>
      <c r="M187" s="12" t="str">
        <f>F187</f>
        <v>桂村乡老岗杨村</v>
      </c>
      <c r="N187" s="30" t="s">
        <v>147</v>
      </c>
      <c r="O187" s="17">
        <v>45809</v>
      </c>
      <c r="P187" s="31" t="s">
        <v>49</v>
      </c>
      <c r="Q187" s="19" t="s">
        <v>50</v>
      </c>
      <c r="R187" s="20" t="s">
        <v>51</v>
      </c>
      <c r="S187" s="21"/>
      <c r="T187" s="11">
        <f>+H187+AH189/10000</f>
        <v>76.8988</v>
      </c>
      <c r="U187" s="11">
        <f>+I187</f>
        <v>135</v>
      </c>
      <c r="V187" s="11">
        <f>+J187</f>
        <v>0</v>
      </c>
      <c r="W187" s="11">
        <f>+K187-AH189/10000</f>
        <v>108.1012</v>
      </c>
      <c r="X187" s="23">
        <v>2990517.95</v>
      </c>
      <c r="Y187" s="23">
        <v>2990517.95</v>
      </c>
      <c r="Z187" s="22">
        <v>2899896.1</v>
      </c>
      <c r="AA187" s="22">
        <v>2899896.1</v>
      </c>
      <c r="AB187" s="23"/>
      <c r="AC187" s="24"/>
      <c r="AD187" s="268">
        <v>869968</v>
      </c>
      <c r="AE187" s="269">
        <f>+AD187/AA187</f>
        <v>0.299999713782849</v>
      </c>
      <c r="AF187" s="270">
        <v>45834</v>
      </c>
      <c r="AG187" s="268"/>
      <c r="AH187" s="268">
        <v>450000</v>
      </c>
      <c r="AI187" s="268">
        <f>+AD187-AH187</f>
        <v>419968</v>
      </c>
      <c r="AJ187" s="268"/>
      <c r="AK187" s="268"/>
      <c r="AL187" s="268"/>
      <c r="AM187" s="268"/>
      <c r="AN187" s="268"/>
      <c r="AO187" s="271">
        <f>+G187*10000-AA187</f>
        <v>300103.9</v>
      </c>
      <c r="AP187" s="1">
        <f>+G187*10000-AA187</f>
        <v>300103.9</v>
      </c>
    </row>
    <row r="188" s="1" customFormat="1" ht="21" customHeight="1" spans="1:42">
      <c r="A188" s="27"/>
      <c r="B188" s="12"/>
      <c r="C188" s="12"/>
      <c r="D188" s="28"/>
      <c r="E188" s="14"/>
      <c r="F188" s="12"/>
      <c r="G188" s="29"/>
      <c r="H188" s="29"/>
      <c r="I188" s="29"/>
      <c r="J188" s="29"/>
      <c r="K188" s="29"/>
      <c r="L188" s="12"/>
      <c r="M188" s="12"/>
      <c r="N188" s="30"/>
      <c r="O188" s="17"/>
      <c r="P188" s="31"/>
      <c r="Q188" s="19"/>
      <c r="R188" s="20"/>
      <c r="S188" s="21"/>
      <c r="T188" s="27"/>
      <c r="U188" s="27"/>
      <c r="V188" s="27"/>
      <c r="W188" s="27"/>
      <c r="X188" s="33"/>
      <c r="Y188" s="33"/>
      <c r="Z188" s="32"/>
      <c r="AA188" s="32"/>
      <c r="AB188" s="33"/>
      <c r="AC188" s="24"/>
      <c r="AD188" s="272">
        <v>1072962</v>
      </c>
      <c r="AE188" s="273">
        <f>+(+AD187+AD188)/AA187</f>
        <v>0.669999866546943</v>
      </c>
      <c r="AF188" s="274">
        <v>45834</v>
      </c>
      <c r="AG188" s="272"/>
      <c r="AH188" s="272"/>
      <c r="AI188" s="272">
        <f>+I187*10000-AI187</f>
        <v>930032</v>
      </c>
      <c r="AJ188" s="272"/>
      <c r="AK188" s="272">
        <f>+AD188-AI188</f>
        <v>142930</v>
      </c>
      <c r="AL188" s="275"/>
      <c r="AM188" s="275"/>
      <c r="AN188" s="275"/>
      <c r="AO188" s="276"/>
    </row>
    <row r="189" s="1" customFormat="1" ht="21" customHeight="1" spans="1:42">
      <c r="A189" s="27"/>
      <c r="B189" s="12"/>
      <c r="C189" s="12"/>
      <c r="D189" s="28"/>
      <c r="E189" s="14"/>
      <c r="F189" s="12"/>
      <c r="G189" s="29"/>
      <c r="H189" s="29"/>
      <c r="I189" s="29"/>
      <c r="J189" s="29"/>
      <c r="K189" s="29"/>
      <c r="L189" s="12"/>
      <c r="M189" s="12"/>
      <c r="N189" s="30"/>
      <c r="O189" s="17"/>
      <c r="P189" s="31"/>
      <c r="Q189" s="19"/>
      <c r="R189" s="20"/>
      <c r="S189" s="21"/>
      <c r="T189" s="27"/>
      <c r="U189" s="27"/>
      <c r="V189" s="27"/>
      <c r="W189" s="27"/>
      <c r="X189" s="33"/>
      <c r="Y189" s="33"/>
      <c r="Z189" s="32"/>
      <c r="AA189" s="32"/>
      <c r="AB189" s="33"/>
      <c r="AC189" s="24"/>
      <c r="AD189" s="277">
        <v>318988</v>
      </c>
      <c r="AE189" s="278">
        <f>+(AD189+AD188+AD187)/AA187</f>
        <v>0.779999669643337</v>
      </c>
      <c r="AF189" s="279">
        <v>45869</v>
      </c>
      <c r="AG189" s="277"/>
      <c r="AH189" s="277">
        <v>318988</v>
      </c>
      <c r="AI189" s="277"/>
      <c r="AJ189" s="277"/>
      <c r="AK189" s="277">
        <f>318988-AH189</f>
        <v>0</v>
      </c>
      <c r="AL189" s="277"/>
      <c r="AM189" s="277"/>
      <c r="AN189" s="277"/>
      <c r="AO189" s="280">
        <f>-AH189</f>
        <v>-318988</v>
      </c>
    </row>
    <row r="190" s="1" customFormat="1" ht="21" customHeight="1" spans="1:42">
      <c r="A190" s="34"/>
      <c r="B190" s="12"/>
      <c r="C190" s="12"/>
      <c r="D190" s="35"/>
      <c r="E190" s="14"/>
      <c r="F190" s="12"/>
      <c r="G190" s="36"/>
      <c r="H190" s="36"/>
      <c r="I190" s="36"/>
      <c r="J190" s="36"/>
      <c r="K190" s="36"/>
      <c r="L190" s="12"/>
      <c r="M190" s="12"/>
      <c r="N190" s="30"/>
      <c r="O190" s="17"/>
      <c r="P190" s="31"/>
      <c r="Q190" s="19"/>
      <c r="R190" s="20"/>
      <c r="S190" s="21"/>
      <c r="T190" s="34"/>
      <c r="U190" s="34"/>
      <c r="V190" s="34"/>
      <c r="W190" s="34"/>
      <c r="X190" s="38"/>
      <c r="Y190" s="38"/>
      <c r="Z190" s="37"/>
      <c r="AA190" s="37"/>
      <c r="AB190" s="38"/>
      <c r="AC190" s="24"/>
      <c r="AD190" s="281"/>
      <c r="AE190" s="282"/>
      <c r="AF190" s="281"/>
      <c r="AG190" s="281"/>
      <c r="AH190" s="281"/>
      <c r="AI190" s="281"/>
      <c r="AJ190" s="281"/>
      <c r="AK190" s="281"/>
      <c r="AL190" s="281"/>
      <c r="AM190" s="281"/>
      <c r="AN190" s="281"/>
      <c r="AO190" s="283">
        <f>+AP187</f>
        <v>300103.9</v>
      </c>
    </row>
    <row r="191" s="1" customFormat="1" ht="21" customHeight="1" spans="1:42">
      <c r="A191" s="11">
        <v>47</v>
      </c>
      <c r="B191" s="12" t="s">
        <v>42</v>
      </c>
      <c r="C191" s="12" t="s">
        <v>43</v>
      </c>
      <c r="D191" s="13" t="s">
        <v>152</v>
      </c>
      <c r="E191" s="14" t="s">
        <v>45</v>
      </c>
      <c r="F191" s="12" t="s">
        <v>153</v>
      </c>
      <c r="G191" s="15">
        <v>80</v>
      </c>
      <c r="H191" s="15"/>
      <c r="I191" s="15">
        <v>45</v>
      </c>
      <c r="J191" s="15"/>
      <c r="K191" s="15">
        <v>35</v>
      </c>
      <c r="L191" s="12" t="s">
        <v>47</v>
      </c>
      <c r="M191" s="12" t="str">
        <f>F191</f>
        <v>桂村乡周胡村</v>
      </c>
      <c r="N191" s="30" t="s">
        <v>147</v>
      </c>
      <c r="O191" s="17">
        <v>45809</v>
      </c>
      <c r="P191" s="31" t="s">
        <v>49</v>
      </c>
      <c r="Q191" s="19" t="s">
        <v>50</v>
      </c>
      <c r="R191" s="20" t="s">
        <v>51</v>
      </c>
      <c r="S191" s="21"/>
      <c r="T191" s="11">
        <f>+H191+AH193/10000</f>
        <v>7.9149</v>
      </c>
      <c r="U191" s="11">
        <f>+I191</f>
        <v>45</v>
      </c>
      <c r="V191" s="11">
        <f>+J191</f>
        <v>0</v>
      </c>
      <c r="W191" s="11">
        <f>+K191-AH193/10000</f>
        <v>27.0851</v>
      </c>
      <c r="X191" s="23">
        <v>743083.25</v>
      </c>
      <c r="Y191" s="23">
        <v>743083.25</v>
      </c>
      <c r="Z191" s="22">
        <v>719539.45</v>
      </c>
      <c r="AA191" s="22">
        <v>719539.45</v>
      </c>
      <c r="AB191" s="23"/>
      <c r="AC191" s="24"/>
      <c r="AD191" s="268">
        <v>215861</v>
      </c>
      <c r="AE191" s="269">
        <f>+AD191/AA191</f>
        <v>0.299998839535483</v>
      </c>
      <c r="AF191" s="270">
        <v>45834</v>
      </c>
      <c r="AG191" s="268"/>
      <c r="AH191" s="268"/>
      <c r="AI191" s="268">
        <f>+AD191</f>
        <v>215861</v>
      </c>
      <c r="AJ191" s="268"/>
      <c r="AK191" s="268"/>
      <c r="AL191" s="268"/>
      <c r="AM191" s="268"/>
      <c r="AN191" s="268"/>
      <c r="AO191" s="271">
        <f>+G191*10000-AA191</f>
        <v>80460.55</v>
      </c>
      <c r="AP191" s="1">
        <f>+G191*10000-AA191</f>
        <v>80460.55</v>
      </c>
    </row>
    <row r="192" s="1" customFormat="1" ht="21" customHeight="1" spans="1:42">
      <c r="A192" s="27"/>
      <c r="B192" s="12"/>
      <c r="C192" s="12"/>
      <c r="D192" s="28"/>
      <c r="E192" s="14"/>
      <c r="F192" s="12"/>
      <c r="G192" s="29"/>
      <c r="H192" s="29"/>
      <c r="I192" s="29"/>
      <c r="J192" s="29"/>
      <c r="K192" s="29"/>
      <c r="L192" s="12"/>
      <c r="M192" s="12"/>
      <c r="N192" s="30"/>
      <c r="O192" s="17"/>
      <c r="P192" s="31"/>
      <c r="Q192" s="19"/>
      <c r="R192" s="20"/>
      <c r="S192" s="21"/>
      <c r="T192" s="27"/>
      <c r="U192" s="27"/>
      <c r="V192" s="27"/>
      <c r="W192" s="27"/>
      <c r="X192" s="33"/>
      <c r="Y192" s="33"/>
      <c r="Z192" s="32"/>
      <c r="AA192" s="32"/>
      <c r="AB192" s="33"/>
      <c r="AC192" s="24"/>
      <c r="AD192" s="272">
        <v>266230</v>
      </c>
      <c r="AE192" s="273">
        <f>+(+AD191+AD192)/AA191</f>
        <v>0.669999400310852</v>
      </c>
      <c r="AF192" s="274">
        <v>45834</v>
      </c>
      <c r="AG192" s="272"/>
      <c r="AH192" s="272"/>
      <c r="AI192" s="272">
        <f>+I191*10000-AI191</f>
        <v>234139</v>
      </c>
      <c r="AJ192" s="272"/>
      <c r="AK192" s="272">
        <f>+AD192-AI192</f>
        <v>32091</v>
      </c>
      <c r="AL192" s="275"/>
      <c r="AM192" s="275"/>
      <c r="AN192" s="275"/>
      <c r="AO192" s="276"/>
    </row>
    <row r="193" s="1" customFormat="1" ht="21" customHeight="1" spans="1:42">
      <c r="A193" s="27"/>
      <c r="B193" s="12"/>
      <c r="C193" s="12"/>
      <c r="D193" s="28"/>
      <c r="E193" s="14"/>
      <c r="F193" s="12"/>
      <c r="G193" s="29"/>
      <c r="H193" s="29"/>
      <c r="I193" s="29"/>
      <c r="J193" s="29"/>
      <c r="K193" s="29"/>
      <c r="L193" s="12"/>
      <c r="M193" s="12"/>
      <c r="N193" s="30"/>
      <c r="O193" s="17"/>
      <c r="P193" s="31"/>
      <c r="Q193" s="19"/>
      <c r="R193" s="20"/>
      <c r="S193" s="21"/>
      <c r="T193" s="27"/>
      <c r="U193" s="27"/>
      <c r="V193" s="27"/>
      <c r="W193" s="27"/>
      <c r="X193" s="33"/>
      <c r="Y193" s="33"/>
      <c r="Z193" s="32"/>
      <c r="AA193" s="32"/>
      <c r="AB193" s="33"/>
      <c r="AC193" s="24"/>
      <c r="AD193" s="277">
        <v>79149</v>
      </c>
      <c r="AE193" s="278">
        <f>+(AD193+AD192+AD191)/AA191</f>
        <v>0.779998928481267</v>
      </c>
      <c r="AF193" s="279">
        <v>45869</v>
      </c>
      <c r="AG193" s="277"/>
      <c r="AH193" s="277">
        <v>79149</v>
      </c>
      <c r="AI193" s="277"/>
      <c r="AJ193" s="277"/>
      <c r="AK193" s="277">
        <f>79149-AH193</f>
        <v>0</v>
      </c>
      <c r="AL193" s="277"/>
      <c r="AM193" s="277"/>
      <c r="AN193" s="277"/>
      <c r="AO193" s="280">
        <f>-AH193</f>
        <v>-79149</v>
      </c>
    </row>
    <row r="194" s="1" customFormat="1" ht="21" customHeight="1" spans="1:42">
      <c r="A194" s="34"/>
      <c r="B194" s="12"/>
      <c r="C194" s="12"/>
      <c r="D194" s="35"/>
      <c r="E194" s="14"/>
      <c r="F194" s="12"/>
      <c r="G194" s="36"/>
      <c r="H194" s="36"/>
      <c r="I194" s="36"/>
      <c r="J194" s="36"/>
      <c r="K194" s="36"/>
      <c r="L194" s="12"/>
      <c r="M194" s="12"/>
      <c r="N194" s="30"/>
      <c r="O194" s="17"/>
      <c r="P194" s="31"/>
      <c r="Q194" s="19"/>
      <c r="R194" s="20"/>
      <c r="S194" s="21"/>
      <c r="T194" s="34"/>
      <c r="U194" s="34"/>
      <c r="V194" s="34"/>
      <c r="W194" s="34"/>
      <c r="X194" s="38"/>
      <c r="Y194" s="38"/>
      <c r="Z194" s="37"/>
      <c r="AA194" s="37"/>
      <c r="AB194" s="38"/>
      <c r="AC194" s="24"/>
      <c r="AD194" s="281"/>
      <c r="AE194" s="282"/>
      <c r="AF194" s="281"/>
      <c r="AG194" s="281"/>
      <c r="AH194" s="281"/>
      <c r="AI194" s="281"/>
      <c r="AJ194" s="281"/>
      <c r="AK194" s="281"/>
      <c r="AL194" s="281"/>
      <c r="AM194" s="281"/>
      <c r="AN194" s="281"/>
      <c r="AO194" s="283">
        <f>+AP191</f>
        <v>80460.55</v>
      </c>
    </row>
    <row r="195" s="1" customFormat="1" ht="21" customHeight="1" spans="1:42">
      <c r="A195" s="11">
        <v>48</v>
      </c>
      <c r="B195" s="12" t="s">
        <v>42</v>
      </c>
      <c r="C195" s="12" t="s">
        <v>43</v>
      </c>
      <c r="D195" s="13" t="s">
        <v>154</v>
      </c>
      <c r="E195" s="14" t="s">
        <v>142</v>
      </c>
      <c r="F195" s="12" t="s">
        <v>155</v>
      </c>
      <c r="G195" s="15">
        <v>160</v>
      </c>
      <c r="H195" s="15"/>
      <c r="I195" s="15">
        <v>90</v>
      </c>
      <c r="J195" s="15"/>
      <c r="K195" s="15">
        <v>70</v>
      </c>
      <c r="L195" s="12" t="s">
        <v>47</v>
      </c>
      <c r="M195" s="12" t="str">
        <f>F195</f>
        <v>灵井镇老关赵村</v>
      </c>
      <c r="N195" s="30" t="s">
        <v>156</v>
      </c>
      <c r="O195" s="17">
        <v>45809</v>
      </c>
      <c r="P195" s="31" t="s">
        <v>49</v>
      </c>
      <c r="Q195" s="19" t="s">
        <v>50</v>
      </c>
      <c r="R195" s="20" t="s">
        <v>51</v>
      </c>
      <c r="S195" s="21"/>
      <c r="T195" s="11">
        <f>+H195+AH197/10000</f>
        <v>15.8299</v>
      </c>
      <c r="U195" s="11">
        <f>+I195</f>
        <v>90</v>
      </c>
      <c r="V195" s="11">
        <f>+J195</f>
        <v>0</v>
      </c>
      <c r="W195" s="11">
        <f>+K195-AH197/10000</f>
        <v>54.1701</v>
      </c>
      <c r="X195" s="23">
        <v>1486167.29</v>
      </c>
      <c r="Y195" s="23">
        <v>1486167.29</v>
      </c>
      <c r="Z195" s="22">
        <v>1439079.67</v>
      </c>
      <c r="AA195" s="22">
        <v>1439079.67</v>
      </c>
      <c r="AB195" s="23"/>
      <c r="AC195" s="24"/>
      <c r="AD195" s="268">
        <v>431723</v>
      </c>
      <c r="AE195" s="269">
        <f>+AD195/AA195</f>
        <v>0.299999373905407</v>
      </c>
      <c r="AF195" s="270">
        <v>45834</v>
      </c>
      <c r="AG195" s="268"/>
      <c r="AH195" s="268"/>
      <c r="AI195" s="268">
        <f>+AD195</f>
        <v>431723</v>
      </c>
      <c r="AJ195" s="268"/>
      <c r="AK195" s="268"/>
      <c r="AL195" s="268"/>
      <c r="AM195" s="268"/>
      <c r="AN195" s="268"/>
      <c r="AO195" s="271">
        <f>+G195*10000-AA195</f>
        <v>160920.33</v>
      </c>
      <c r="AP195" s="1">
        <f>+G195*10000-AA195</f>
        <v>160920.33</v>
      </c>
    </row>
    <row r="196" s="1" customFormat="1" ht="21" customHeight="1" spans="1:42">
      <c r="A196" s="27"/>
      <c r="B196" s="12"/>
      <c r="C196" s="12"/>
      <c r="D196" s="28"/>
      <c r="E196" s="14"/>
      <c r="F196" s="12"/>
      <c r="G196" s="29"/>
      <c r="H196" s="29"/>
      <c r="I196" s="29"/>
      <c r="J196" s="29"/>
      <c r="K196" s="29"/>
      <c r="L196" s="12"/>
      <c r="M196" s="12"/>
      <c r="N196" s="30"/>
      <c r="O196" s="17"/>
      <c r="P196" s="31"/>
      <c r="Q196" s="19"/>
      <c r="R196" s="20"/>
      <c r="S196" s="21"/>
      <c r="T196" s="27"/>
      <c r="U196" s="27"/>
      <c r="V196" s="27"/>
      <c r="W196" s="27"/>
      <c r="X196" s="33"/>
      <c r="Y196" s="33"/>
      <c r="Z196" s="32"/>
      <c r="AA196" s="32"/>
      <c r="AB196" s="33"/>
      <c r="AC196" s="24"/>
      <c r="AD196" s="272">
        <v>532460</v>
      </c>
      <c r="AE196" s="273">
        <f>+(+AD195+AD196)/AA195</f>
        <v>0.669999736706725</v>
      </c>
      <c r="AF196" s="274">
        <v>45834</v>
      </c>
      <c r="AG196" s="272"/>
      <c r="AH196" s="272"/>
      <c r="AI196" s="272">
        <f>+I195*10000-AI195</f>
        <v>468277</v>
      </c>
      <c r="AJ196" s="272"/>
      <c r="AK196" s="272">
        <f>+AD196-AI196</f>
        <v>64183</v>
      </c>
      <c r="AL196" s="275"/>
      <c r="AM196" s="275"/>
      <c r="AN196" s="275"/>
      <c r="AO196" s="276"/>
    </row>
    <row r="197" s="1" customFormat="1" ht="21" customHeight="1" spans="1:42">
      <c r="A197" s="27"/>
      <c r="B197" s="12"/>
      <c r="C197" s="12"/>
      <c r="D197" s="28"/>
      <c r="E197" s="14"/>
      <c r="F197" s="12"/>
      <c r="G197" s="29"/>
      <c r="H197" s="29"/>
      <c r="I197" s="29"/>
      <c r="J197" s="29"/>
      <c r="K197" s="29"/>
      <c r="L197" s="12"/>
      <c r="M197" s="12"/>
      <c r="N197" s="30"/>
      <c r="O197" s="17"/>
      <c r="P197" s="31"/>
      <c r="Q197" s="19"/>
      <c r="R197" s="20"/>
      <c r="S197" s="21"/>
      <c r="T197" s="27"/>
      <c r="U197" s="27"/>
      <c r="V197" s="27"/>
      <c r="W197" s="27"/>
      <c r="X197" s="33"/>
      <c r="Y197" s="33"/>
      <c r="Z197" s="32"/>
      <c r="AA197" s="32"/>
      <c r="AB197" s="33"/>
      <c r="AC197" s="24"/>
      <c r="AD197" s="277">
        <v>158299</v>
      </c>
      <c r="AE197" s="278">
        <f>+(AD197+AD196+AD195)/AA195</f>
        <v>0.779999900908891</v>
      </c>
      <c r="AF197" s="279">
        <v>45869</v>
      </c>
      <c r="AG197" s="277"/>
      <c r="AH197" s="277">
        <v>158299</v>
      </c>
      <c r="AI197" s="277"/>
      <c r="AJ197" s="277"/>
      <c r="AK197" s="277">
        <f>158299-AH197</f>
        <v>0</v>
      </c>
      <c r="AL197" s="277"/>
      <c r="AM197" s="277"/>
      <c r="AN197" s="277"/>
      <c r="AO197" s="280">
        <f>-AH197</f>
        <v>-158299</v>
      </c>
    </row>
    <row r="198" s="1" customFormat="1" ht="21" customHeight="1" spans="1:42">
      <c r="A198" s="34"/>
      <c r="B198" s="12"/>
      <c r="C198" s="12"/>
      <c r="D198" s="35"/>
      <c r="E198" s="14"/>
      <c r="F198" s="12"/>
      <c r="G198" s="36"/>
      <c r="H198" s="36"/>
      <c r="I198" s="36"/>
      <c r="J198" s="36"/>
      <c r="K198" s="36"/>
      <c r="L198" s="12"/>
      <c r="M198" s="12"/>
      <c r="N198" s="30"/>
      <c r="O198" s="17"/>
      <c r="P198" s="31"/>
      <c r="Q198" s="19"/>
      <c r="R198" s="20"/>
      <c r="S198" s="21"/>
      <c r="T198" s="34"/>
      <c r="U198" s="34"/>
      <c r="V198" s="34"/>
      <c r="W198" s="34"/>
      <c r="X198" s="38"/>
      <c r="Y198" s="38"/>
      <c r="Z198" s="37"/>
      <c r="AA198" s="37"/>
      <c r="AB198" s="38"/>
      <c r="AC198" s="24"/>
      <c r="AD198" s="281"/>
      <c r="AE198" s="282"/>
      <c r="AF198" s="281"/>
      <c r="AG198" s="281"/>
      <c r="AH198" s="281"/>
      <c r="AI198" s="281"/>
      <c r="AJ198" s="281"/>
      <c r="AK198" s="281"/>
      <c r="AL198" s="281"/>
      <c r="AM198" s="281"/>
      <c r="AN198" s="281"/>
      <c r="AO198" s="283">
        <f>+AP195</f>
        <v>160920.33</v>
      </c>
    </row>
    <row r="199" s="1" customFormat="1" ht="21" customHeight="1" spans="1:42">
      <c r="A199" s="11">
        <v>49</v>
      </c>
      <c r="B199" s="12" t="s">
        <v>42</v>
      </c>
      <c r="C199" s="12" t="s">
        <v>43</v>
      </c>
      <c r="D199" s="13" t="s">
        <v>157</v>
      </c>
      <c r="E199" s="14" t="s">
        <v>142</v>
      </c>
      <c r="F199" s="12" t="s">
        <v>158</v>
      </c>
      <c r="G199" s="15">
        <v>160</v>
      </c>
      <c r="H199" s="15"/>
      <c r="I199" s="15">
        <v>90</v>
      </c>
      <c r="J199" s="15"/>
      <c r="K199" s="15">
        <v>70</v>
      </c>
      <c r="L199" s="12" t="s">
        <v>47</v>
      </c>
      <c r="M199" s="12" t="str">
        <f>F199</f>
        <v>灵井镇纸张村</v>
      </c>
      <c r="N199" s="30" t="s">
        <v>156</v>
      </c>
      <c r="O199" s="17">
        <v>45809</v>
      </c>
      <c r="P199" s="31" t="s">
        <v>49</v>
      </c>
      <c r="Q199" s="19" t="s">
        <v>50</v>
      </c>
      <c r="R199" s="20" t="s">
        <v>51</v>
      </c>
      <c r="S199" s="21"/>
      <c r="T199" s="11">
        <f>+H199+AH201/10000</f>
        <v>15.6253</v>
      </c>
      <c r="U199" s="11">
        <f>+I199</f>
        <v>90</v>
      </c>
      <c r="V199" s="11">
        <f>+J199</f>
        <v>0</v>
      </c>
      <c r="W199" s="11">
        <f>+K199-AH201/10000</f>
        <v>54.3747</v>
      </c>
      <c r="X199" s="23">
        <v>1467567.8</v>
      </c>
      <c r="Y199" s="23">
        <v>1467567.8</v>
      </c>
      <c r="Z199" s="22">
        <v>1420480.17</v>
      </c>
      <c r="AA199" s="22">
        <v>1420480.17</v>
      </c>
      <c r="AB199" s="23"/>
      <c r="AC199" s="24"/>
      <c r="AD199" s="268">
        <v>426144</v>
      </c>
      <c r="AE199" s="269">
        <f>+AD199/AA199</f>
        <v>0.299999964096648</v>
      </c>
      <c r="AF199" s="270">
        <v>45834</v>
      </c>
      <c r="AG199" s="268"/>
      <c r="AH199" s="268"/>
      <c r="AI199" s="268">
        <f>+AD199</f>
        <v>426144</v>
      </c>
      <c r="AJ199" s="268"/>
      <c r="AK199" s="268"/>
      <c r="AL199" s="268"/>
      <c r="AM199" s="268"/>
      <c r="AN199" s="268"/>
      <c r="AO199" s="271">
        <f>+G199*10000-AA199</f>
        <v>179519.83</v>
      </c>
      <c r="AP199" s="1">
        <f>+G199*10000-AA199</f>
        <v>179519.83</v>
      </c>
    </row>
    <row r="200" s="1" customFormat="1" ht="21" customHeight="1" spans="1:42">
      <c r="A200" s="27"/>
      <c r="B200" s="12"/>
      <c r="C200" s="12"/>
      <c r="D200" s="28"/>
      <c r="E200" s="14"/>
      <c r="F200" s="12"/>
      <c r="G200" s="29"/>
      <c r="H200" s="29"/>
      <c r="I200" s="29"/>
      <c r="J200" s="29"/>
      <c r="K200" s="29"/>
      <c r="L200" s="12"/>
      <c r="M200" s="12"/>
      <c r="N200" s="30"/>
      <c r="O200" s="17"/>
      <c r="P200" s="31"/>
      <c r="Q200" s="19"/>
      <c r="R200" s="20"/>
      <c r="S200" s="21"/>
      <c r="T200" s="27"/>
      <c r="U200" s="27"/>
      <c r="V200" s="27"/>
      <c r="W200" s="27"/>
      <c r="X200" s="33"/>
      <c r="Y200" s="33"/>
      <c r="Z200" s="32"/>
      <c r="AA200" s="32"/>
      <c r="AB200" s="33"/>
      <c r="AC200" s="24"/>
      <c r="AD200" s="272">
        <v>525577</v>
      </c>
      <c r="AE200" s="273">
        <f>+(+AD199+AD200)/AA199</f>
        <v>0.669999497423466</v>
      </c>
      <c r="AF200" s="274">
        <v>45834</v>
      </c>
      <c r="AG200" s="272"/>
      <c r="AH200" s="272"/>
      <c r="AI200" s="272">
        <f>+I199*10000-AI199</f>
        <v>473856</v>
      </c>
      <c r="AJ200" s="272"/>
      <c r="AK200" s="272">
        <f>+AD200-AI200</f>
        <v>51721</v>
      </c>
      <c r="AL200" s="275"/>
      <c r="AM200" s="275"/>
      <c r="AN200" s="275"/>
      <c r="AO200" s="276"/>
    </row>
    <row r="201" s="1" customFormat="1" ht="21" customHeight="1" spans="1:42">
      <c r="A201" s="27"/>
      <c r="B201" s="12"/>
      <c r="C201" s="12"/>
      <c r="D201" s="28"/>
      <c r="E201" s="14"/>
      <c r="F201" s="12"/>
      <c r="G201" s="29"/>
      <c r="H201" s="29"/>
      <c r="I201" s="29"/>
      <c r="J201" s="29"/>
      <c r="K201" s="29"/>
      <c r="L201" s="12"/>
      <c r="M201" s="12"/>
      <c r="N201" s="30"/>
      <c r="O201" s="17"/>
      <c r="P201" s="31"/>
      <c r="Q201" s="19"/>
      <c r="R201" s="20"/>
      <c r="S201" s="21"/>
      <c r="T201" s="27"/>
      <c r="U201" s="27"/>
      <c r="V201" s="27"/>
      <c r="W201" s="27"/>
      <c r="X201" s="33"/>
      <c r="Y201" s="33"/>
      <c r="Z201" s="32"/>
      <c r="AA201" s="32"/>
      <c r="AB201" s="33"/>
      <c r="AC201" s="24"/>
      <c r="AD201" s="277">
        <v>156253</v>
      </c>
      <c r="AE201" s="278">
        <f>+(AD201+AD200+AD199)/AA199</f>
        <v>0.779999625056364</v>
      </c>
      <c r="AF201" s="279">
        <v>45869</v>
      </c>
      <c r="AG201" s="277"/>
      <c r="AH201" s="277">
        <v>156253</v>
      </c>
      <c r="AI201" s="277"/>
      <c r="AJ201" s="277"/>
      <c r="AK201" s="277">
        <f>156253-AH201</f>
        <v>0</v>
      </c>
      <c r="AL201" s="277"/>
      <c r="AM201" s="277"/>
      <c r="AN201" s="277"/>
      <c r="AO201" s="280">
        <f>-AH201</f>
        <v>-156253</v>
      </c>
    </row>
    <row r="202" s="1" customFormat="1" ht="21" customHeight="1" spans="1:42">
      <c r="A202" s="34"/>
      <c r="B202" s="12"/>
      <c r="C202" s="12"/>
      <c r="D202" s="35"/>
      <c r="E202" s="14"/>
      <c r="F202" s="12"/>
      <c r="G202" s="36"/>
      <c r="H202" s="36"/>
      <c r="I202" s="36"/>
      <c r="J202" s="36"/>
      <c r="K202" s="36"/>
      <c r="L202" s="12"/>
      <c r="M202" s="12"/>
      <c r="N202" s="30"/>
      <c r="O202" s="17"/>
      <c r="P202" s="31"/>
      <c r="Q202" s="19"/>
      <c r="R202" s="20"/>
      <c r="S202" s="21"/>
      <c r="T202" s="34"/>
      <c r="U202" s="34"/>
      <c r="V202" s="34"/>
      <c r="W202" s="34"/>
      <c r="X202" s="38"/>
      <c r="Y202" s="38"/>
      <c r="Z202" s="37"/>
      <c r="AA202" s="37"/>
      <c r="AB202" s="38"/>
      <c r="AC202" s="24"/>
      <c r="AD202" s="281"/>
      <c r="AE202" s="282"/>
      <c r="AF202" s="281"/>
      <c r="AG202" s="281"/>
      <c r="AH202" s="281"/>
      <c r="AI202" s="281"/>
      <c r="AJ202" s="281"/>
      <c r="AK202" s="281"/>
      <c r="AL202" s="281"/>
      <c r="AM202" s="281"/>
      <c r="AN202" s="281"/>
      <c r="AO202" s="283">
        <f>+AP199</f>
        <v>179519.83</v>
      </c>
    </row>
    <row r="203" s="1" customFormat="1" ht="21" customHeight="1" spans="1:42">
      <c r="A203" s="11">
        <v>50</v>
      </c>
      <c r="B203" s="12" t="s">
        <v>42</v>
      </c>
      <c r="C203" s="12" t="s">
        <v>43</v>
      </c>
      <c r="D203" s="13" t="s">
        <v>159</v>
      </c>
      <c r="E203" s="14" t="s">
        <v>142</v>
      </c>
      <c r="F203" s="12" t="s">
        <v>160</v>
      </c>
      <c r="G203" s="15">
        <v>160</v>
      </c>
      <c r="H203" s="15"/>
      <c r="I203" s="15">
        <v>90</v>
      </c>
      <c r="J203" s="15"/>
      <c r="K203" s="15">
        <v>70</v>
      </c>
      <c r="L203" s="12" t="s">
        <v>47</v>
      </c>
      <c r="M203" s="12" t="str">
        <f>F203</f>
        <v>灵井镇陈庄村</v>
      </c>
      <c r="N203" s="30" t="s">
        <v>156</v>
      </c>
      <c r="O203" s="17">
        <v>45809</v>
      </c>
      <c r="P203" s="31" t="s">
        <v>49</v>
      </c>
      <c r="Q203" s="19" t="s">
        <v>50</v>
      </c>
      <c r="R203" s="20" t="s">
        <v>51</v>
      </c>
      <c r="S203" s="21"/>
      <c r="T203" s="11">
        <f>+H203+AH205/10000</f>
        <v>15.6253</v>
      </c>
      <c r="U203" s="11">
        <f>+I203</f>
        <v>90</v>
      </c>
      <c r="V203" s="11">
        <f>+J203</f>
        <v>0</v>
      </c>
      <c r="W203" s="11">
        <f>+K203-AH205/10000</f>
        <v>54.3747</v>
      </c>
      <c r="X203" s="23">
        <v>1467567.8</v>
      </c>
      <c r="Y203" s="23">
        <v>1467567.8</v>
      </c>
      <c r="Z203" s="22">
        <v>1420480.17</v>
      </c>
      <c r="AA203" s="22">
        <v>1420480.17</v>
      </c>
      <c r="AB203" s="23"/>
      <c r="AC203" s="24"/>
      <c r="AD203" s="268">
        <v>426144</v>
      </c>
      <c r="AE203" s="269">
        <f>+AD203/AA203</f>
        <v>0.299999964096648</v>
      </c>
      <c r="AF203" s="270">
        <v>45834</v>
      </c>
      <c r="AG203" s="268"/>
      <c r="AH203" s="268"/>
      <c r="AI203" s="268">
        <f>+AD203</f>
        <v>426144</v>
      </c>
      <c r="AJ203" s="268"/>
      <c r="AK203" s="268"/>
      <c r="AL203" s="268"/>
      <c r="AM203" s="268"/>
      <c r="AN203" s="268"/>
      <c r="AO203" s="271">
        <f>+G203*10000-AA203</f>
        <v>179519.83</v>
      </c>
      <c r="AP203" s="1">
        <f>+G203*10000-AA203</f>
        <v>179519.83</v>
      </c>
    </row>
    <row r="204" s="1" customFormat="1" ht="21" customHeight="1" spans="1:42">
      <c r="A204" s="27"/>
      <c r="B204" s="12"/>
      <c r="C204" s="12"/>
      <c r="D204" s="28"/>
      <c r="E204" s="14"/>
      <c r="F204" s="12"/>
      <c r="G204" s="29"/>
      <c r="H204" s="29"/>
      <c r="I204" s="29"/>
      <c r="J204" s="29"/>
      <c r="K204" s="29"/>
      <c r="L204" s="12"/>
      <c r="M204" s="12"/>
      <c r="N204" s="30"/>
      <c r="O204" s="17"/>
      <c r="P204" s="31"/>
      <c r="Q204" s="19"/>
      <c r="R204" s="20"/>
      <c r="S204" s="21"/>
      <c r="T204" s="27"/>
      <c r="U204" s="27"/>
      <c r="V204" s="27"/>
      <c r="W204" s="27"/>
      <c r="X204" s="33"/>
      <c r="Y204" s="33"/>
      <c r="Z204" s="32"/>
      <c r="AA204" s="32"/>
      <c r="AB204" s="33"/>
      <c r="AC204" s="24"/>
      <c r="AD204" s="272">
        <v>525577</v>
      </c>
      <c r="AE204" s="273">
        <f>+(+AD203+AD204)/AA203</f>
        <v>0.669999497423466</v>
      </c>
      <c r="AF204" s="274">
        <v>45834</v>
      </c>
      <c r="AG204" s="272"/>
      <c r="AH204" s="272"/>
      <c r="AI204" s="272">
        <f>+I203*10000-AI203</f>
        <v>473856</v>
      </c>
      <c r="AJ204" s="272"/>
      <c r="AK204" s="272">
        <f>+AD204-AI204</f>
        <v>51721</v>
      </c>
      <c r="AL204" s="275"/>
      <c r="AM204" s="275"/>
      <c r="AN204" s="275"/>
      <c r="AO204" s="276"/>
    </row>
    <row r="205" s="1" customFormat="1" ht="21" customHeight="1" spans="1:42">
      <c r="A205" s="27"/>
      <c r="B205" s="12"/>
      <c r="C205" s="12"/>
      <c r="D205" s="28"/>
      <c r="E205" s="14"/>
      <c r="F205" s="12"/>
      <c r="G205" s="29"/>
      <c r="H205" s="29"/>
      <c r="I205" s="29"/>
      <c r="J205" s="29"/>
      <c r="K205" s="29"/>
      <c r="L205" s="12"/>
      <c r="M205" s="12"/>
      <c r="N205" s="30"/>
      <c r="O205" s="17"/>
      <c r="P205" s="31"/>
      <c r="Q205" s="19"/>
      <c r="R205" s="20"/>
      <c r="S205" s="21"/>
      <c r="T205" s="27"/>
      <c r="U205" s="27"/>
      <c r="V205" s="27"/>
      <c r="W205" s="27"/>
      <c r="X205" s="33"/>
      <c r="Y205" s="33"/>
      <c r="Z205" s="32"/>
      <c r="AA205" s="32"/>
      <c r="AB205" s="33"/>
      <c r="AC205" s="24"/>
      <c r="AD205" s="277">
        <v>156253</v>
      </c>
      <c r="AE205" s="278">
        <f>+(AD205+AD204+AD203)/AA203</f>
        <v>0.779999625056364</v>
      </c>
      <c r="AF205" s="279">
        <v>45869</v>
      </c>
      <c r="AG205" s="277"/>
      <c r="AH205" s="277">
        <v>156253</v>
      </c>
      <c r="AI205" s="277"/>
      <c r="AJ205" s="277"/>
      <c r="AK205" s="277">
        <f>156253-AH205</f>
        <v>0</v>
      </c>
      <c r="AL205" s="277"/>
      <c r="AM205" s="277"/>
      <c r="AN205" s="277"/>
      <c r="AO205" s="280">
        <f>-AH205</f>
        <v>-156253</v>
      </c>
    </row>
    <row r="206" s="1" customFormat="1" ht="21" customHeight="1" spans="1:42">
      <c r="A206" s="34"/>
      <c r="B206" s="12"/>
      <c r="C206" s="12"/>
      <c r="D206" s="35"/>
      <c r="E206" s="14"/>
      <c r="F206" s="12"/>
      <c r="G206" s="36"/>
      <c r="H206" s="36"/>
      <c r="I206" s="36"/>
      <c r="J206" s="36"/>
      <c r="K206" s="36"/>
      <c r="L206" s="12"/>
      <c r="M206" s="12"/>
      <c r="N206" s="30"/>
      <c r="O206" s="17"/>
      <c r="P206" s="31"/>
      <c r="Q206" s="19"/>
      <c r="R206" s="20"/>
      <c r="S206" s="21"/>
      <c r="T206" s="34"/>
      <c r="U206" s="34"/>
      <c r="V206" s="34"/>
      <c r="W206" s="34"/>
      <c r="X206" s="38"/>
      <c r="Y206" s="38"/>
      <c r="Z206" s="37"/>
      <c r="AA206" s="37"/>
      <c r="AB206" s="38"/>
      <c r="AC206" s="24"/>
      <c r="AD206" s="281"/>
      <c r="AE206" s="282"/>
      <c r="AF206" s="281"/>
      <c r="AG206" s="281"/>
      <c r="AH206" s="281"/>
      <c r="AI206" s="281"/>
      <c r="AJ206" s="281"/>
      <c r="AK206" s="281"/>
      <c r="AL206" s="281"/>
      <c r="AM206" s="281"/>
      <c r="AN206" s="281"/>
      <c r="AO206" s="283">
        <f>+AP203</f>
        <v>179519.83</v>
      </c>
    </row>
    <row r="207" s="1" customFormat="1" ht="21" customHeight="1" spans="1:42">
      <c r="A207" s="11">
        <v>51</v>
      </c>
      <c r="B207" s="12" t="s">
        <v>42</v>
      </c>
      <c r="C207" s="12" t="s">
        <v>43</v>
      </c>
      <c r="D207" s="13" t="s">
        <v>161</v>
      </c>
      <c r="E207" s="14" t="s">
        <v>45</v>
      </c>
      <c r="F207" s="12" t="s">
        <v>162</v>
      </c>
      <c r="G207" s="15">
        <v>80</v>
      </c>
      <c r="H207" s="15"/>
      <c r="I207" s="15">
        <v>45</v>
      </c>
      <c r="J207" s="15"/>
      <c r="K207" s="15">
        <v>35</v>
      </c>
      <c r="L207" s="12" t="s">
        <v>47</v>
      </c>
      <c r="M207" s="12" t="str">
        <f>F207</f>
        <v>苏桥镇侯王村</v>
      </c>
      <c r="N207" s="30" t="s">
        <v>163</v>
      </c>
      <c r="O207" s="17">
        <v>45809</v>
      </c>
      <c r="P207" s="31" t="s">
        <v>49</v>
      </c>
      <c r="Q207" s="19" t="s">
        <v>50</v>
      </c>
      <c r="R207" s="20" t="s">
        <v>51</v>
      </c>
      <c r="S207" s="21"/>
      <c r="T207" s="11">
        <f>+H207+AH209/10000</f>
        <v>7.9772</v>
      </c>
      <c r="U207" s="11">
        <f>+I207</f>
        <v>45</v>
      </c>
      <c r="V207" s="11">
        <f>+J207</f>
        <v>0</v>
      </c>
      <c r="W207" s="11">
        <f>+K207-AH209/10000</f>
        <v>27.0228</v>
      </c>
      <c r="X207" s="23">
        <v>745184.36</v>
      </c>
      <c r="Y207" s="23">
        <v>745184.36</v>
      </c>
      <c r="Z207" s="22">
        <v>725193.97</v>
      </c>
      <c r="AA207" s="22">
        <v>725193.97</v>
      </c>
      <c r="AB207" s="23"/>
      <c r="AC207" s="24"/>
      <c r="AD207" s="268">
        <v>217558</v>
      </c>
      <c r="AE207" s="269">
        <f>+AD207/AA207</f>
        <v>0.29999973662219</v>
      </c>
      <c r="AF207" s="270">
        <v>45834</v>
      </c>
      <c r="AG207" s="268"/>
      <c r="AH207" s="268"/>
      <c r="AI207" s="268">
        <f>+AD207</f>
        <v>217558</v>
      </c>
      <c r="AJ207" s="268"/>
      <c r="AK207" s="268"/>
      <c r="AL207" s="268"/>
      <c r="AM207" s="268"/>
      <c r="AN207" s="268"/>
      <c r="AO207" s="271">
        <f>+G207*10000-AA207</f>
        <v>74806.03</v>
      </c>
      <c r="AP207" s="1">
        <f>+G207*10000-AA207</f>
        <v>74806.03</v>
      </c>
    </row>
    <row r="208" s="1" customFormat="1" ht="21" customHeight="1" spans="1:42">
      <c r="A208" s="27"/>
      <c r="B208" s="12"/>
      <c r="C208" s="12"/>
      <c r="D208" s="28"/>
      <c r="E208" s="14"/>
      <c r="F208" s="12"/>
      <c r="G208" s="29"/>
      <c r="H208" s="29"/>
      <c r="I208" s="29"/>
      <c r="J208" s="29"/>
      <c r="K208" s="29"/>
      <c r="L208" s="12"/>
      <c r="M208" s="12"/>
      <c r="N208" s="30"/>
      <c r="O208" s="17"/>
      <c r="P208" s="31"/>
      <c r="Q208" s="19"/>
      <c r="R208" s="20"/>
      <c r="S208" s="21"/>
      <c r="T208" s="27"/>
      <c r="U208" s="27"/>
      <c r="V208" s="27"/>
      <c r="W208" s="27"/>
      <c r="X208" s="33"/>
      <c r="Y208" s="33"/>
      <c r="Z208" s="32"/>
      <c r="AA208" s="32"/>
      <c r="AB208" s="33"/>
      <c r="AC208" s="24"/>
      <c r="AD208" s="272">
        <v>268321</v>
      </c>
      <c r="AE208" s="273">
        <f>+(+AD207+AD208)/AA207</f>
        <v>0.669998676354135</v>
      </c>
      <c r="AF208" s="274">
        <v>45834</v>
      </c>
      <c r="AG208" s="272"/>
      <c r="AH208" s="272"/>
      <c r="AI208" s="272">
        <f>+I207*10000-AI207</f>
        <v>232442</v>
      </c>
      <c r="AJ208" s="272"/>
      <c r="AK208" s="272">
        <f>+AD208-AI208</f>
        <v>35879</v>
      </c>
      <c r="AL208" s="275"/>
      <c r="AM208" s="275"/>
      <c r="AN208" s="275"/>
      <c r="AO208" s="276"/>
    </row>
    <row r="209" s="1" customFormat="1" ht="21" customHeight="1" spans="1:42">
      <c r="A209" s="27"/>
      <c r="B209" s="12"/>
      <c r="C209" s="12"/>
      <c r="D209" s="28"/>
      <c r="E209" s="14"/>
      <c r="F209" s="12"/>
      <c r="G209" s="29"/>
      <c r="H209" s="29"/>
      <c r="I209" s="29"/>
      <c r="J209" s="29"/>
      <c r="K209" s="29"/>
      <c r="L209" s="12"/>
      <c r="M209" s="12"/>
      <c r="N209" s="30"/>
      <c r="O209" s="17"/>
      <c r="P209" s="31"/>
      <c r="Q209" s="19"/>
      <c r="R209" s="20"/>
      <c r="S209" s="21"/>
      <c r="T209" s="27"/>
      <c r="U209" s="27"/>
      <c r="V209" s="27"/>
      <c r="W209" s="27"/>
      <c r="X209" s="33"/>
      <c r="Y209" s="33"/>
      <c r="Z209" s="32"/>
      <c r="AA209" s="32"/>
      <c r="AB209" s="33"/>
      <c r="AC209" s="24"/>
      <c r="AD209" s="277">
        <v>79772</v>
      </c>
      <c r="AE209" s="278">
        <f>+(AD209+AD208+AD207)/AA207</f>
        <v>0.779999591005976</v>
      </c>
      <c r="AF209" s="279">
        <v>45869</v>
      </c>
      <c r="AG209" s="277"/>
      <c r="AH209" s="277">
        <v>79772</v>
      </c>
      <c r="AI209" s="277"/>
      <c r="AJ209" s="277"/>
      <c r="AK209" s="277">
        <f>79772-AH209</f>
        <v>0</v>
      </c>
      <c r="AL209" s="277"/>
      <c r="AM209" s="277"/>
      <c r="AN209" s="277"/>
      <c r="AO209" s="280">
        <f>-AH209</f>
        <v>-79772</v>
      </c>
    </row>
    <row r="210" s="1" customFormat="1" ht="21" customHeight="1" spans="1:42">
      <c r="A210" s="34"/>
      <c r="B210" s="12"/>
      <c r="C210" s="12"/>
      <c r="D210" s="35"/>
      <c r="E210" s="14"/>
      <c r="F210" s="12"/>
      <c r="G210" s="36"/>
      <c r="H210" s="36"/>
      <c r="I210" s="36"/>
      <c r="J210" s="36"/>
      <c r="K210" s="36"/>
      <c r="L210" s="12"/>
      <c r="M210" s="12"/>
      <c r="N210" s="30"/>
      <c r="O210" s="17"/>
      <c r="P210" s="31"/>
      <c r="Q210" s="19"/>
      <c r="R210" s="20"/>
      <c r="S210" s="21"/>
      <c r="T210" s="34"/>
      <c r="U210" s="34"/>
      <c r="V210" s="34"/>
      <c r="W210" s="34"/>
      <c r="X210" s="38"/>
      <c r="Y210" s="38"/>
      <c r="Z210" s="37"/>
      <c r="AA210" s="37"/>
      <c r="AB210" s="38"/>
      <c r="AC210" s="24"/>
      <c r="AD210" s="281"/>
      <c r="AE210" s="282"/>
      <c r="AF210" s="281"/>
      <c r="AG210" s="281"/>
      <c r="AH210" s="281"/>
      <c r="AI210" s="281"/>
      <c r="AJ210" s="281"/>
      <c r="AK210" s="281"/>
      <c r="AL210" s="281"/>
      <c r="AM210" s="281"/>
      <c r="AN210" s="281"/>
      <c r="AO210" s="283">
        <f>+AP207</f>
        <v>74806.03</v>
      </c>
    </row>
    <row r="211" s="1" customFormat="1" ht="21" customHeight="1" spans="1:42">
      <c r="A211" s="11">
        <v>52</v>
      </c>
      <c r="B211" s="12" t="s">
        <v>42</v>
      </c>
      <c r="C211" s="12" t="s">
        <v>43</v>
      </c>
      <c r="D211" s="13" t="s">
        <v>164</v>
      </c>
      <c r="E211" s="14" t="s">
        <v>45</v>
      </c>
      <c r="F211" s="12" t="s">
        <v>165</v>
      </c>
      <c r="G211" s="15">
        <v>80</v>
      </c>
      <c r="H211" s="15"/>
      <c r="I211" s="15">
        <v>45</v>
      </c>
      <c r="J211" s="15"/>
      <c r="K211" s="15">
        <v>35</v>
      </c>
      <c r="L211" s="12" t="s">
        <v>47</v>
      </c>
      <c r="M211" s="12" t="str">
        <f>F211</f>
        <v>苏桥镇王彦庄村</v>
      </c>
      <c r="N211" s="30" t="s">
        <v>163</v>
      </c>
      <c r="O211" s="17">
        <v>45809</v>
      </c>
      <c r="P211" s="31" t="s">
        <v>49</v>
      </c>
      <c r="Q211" s="19" t="s">
        <v>50</v>
      </c>
      <c r="R211" s="20" t="s">
        <v>51</v>
      </c>
      <c r="S211" s="21"/>
      <c r="T211" s="11">
        <f>+H211+AH213/10000</f>
        <v>7.9772</v>
      </c>
      <c r="U211" s="11">
        <f>+I211</f>
        <v>45</v>
      </c>
      <c r="V211" s="11">
        <f>+J211</f>
        <v>0</v>
      </c>
      <c r="W211" s="11">
        <f>+K211-AH213/10000</f>
        <v>27.0228</v>
      </c>
      <c r="X211" s="23">
        <v>745184.36</v>
      </c>
      <c r="Y211" s="23">
        <v>745184.36</v>
      </c>
      <c r="Z211" s="22">
        <v>725193.97</v>
      </c>
      <c r="AA211" s="22">
        <v>725193.97</v>
      </c>
      <c r="AB211" s="23"/>
      <c r="AC211" s="24"/>
      <c r="AD211" s="268">
        <v>217558</v>
      </c>
      <c r="AE211" s="269">
        <f>+AD211/AA211</f>
        <v>0.29999973662219</v>
      </c>
      <c r="AF211" s="270">
        <v>45834</v>
      </c>
      <c r="AG211" s="268"/>
      <c r="AH211" s="268"/>
      <c r="AI211" s="268">
        <f>+AD211</f>
        <v>217558</v>
      </c>
      <c r="AJ211" s="268"/>
      <c r="AK211" s="268"/>
      <c r="AL211" s="268"/>
      <c r="AM211" s="268"/>
      <c r="AN211" s="268"/>
      <c r="AO211" s="271">
        <f>+G211*10000-AA211</f>
        <v>74806.03</v>
      </c>
      <c r="AP211" s="1">
        <f>+G211*10000-AA211</f>
        <v>74806.03</v>
      </c>
    </row>
    <row r="212" s="1" customFormat="1" ht="21" customHeight="1" spans="1:42">
      <c r="A212" s="27"/>
      <c r="B212" s="12"/>
      <c r="C212" s="12"/>
      <c r="D212" s="28"/>
      <c r="E212" s="14"/>
      <c r="F212" s="12"/>
      <c r="G212" s="29"/>
      <c r="H212" s="29"/>
      <c r="I212" s="29"/>
      <c r="J212" s="29"/>
      <c r="K212" s="29"/>
      <c r="L212" s="12"/>
      <c r="M212" s="12"/>
      <c r="N212" s="30"/>
      <c r="O212" s="17"/>
      <c r="P212" s="31"/>
      <c r="Q212" s="19"/>
      <c r="R212" s="20"/>
      <c r="S212" s="21"/>
      <c r="T212" s="27"/>
      <c r="U212" s="27"/>
      <c r="V212" s="27"/>
      <c r="W212" s="27"/>
      <c r="X212" s="33"/>
      <c r="Y212" s="33"/>
      <c r="Z212" s="32"/>
      <c r="AA212" s="32"/>
      <c r="AB212" s="33"/>
      <c r="AC212" s="24"/>
      <c r="AD212" s="272">
        <v>268321</v>
      </c>
      <c r="AE212" s="273">
        <f>+(+AD211+AD212)/AA211</f>
        <v>0.669998676354135</v>
      </c>
      <c r="AF212" s="274">
        <v>45834</v>
      </c>
      <c r="AG212" s="272"/>
      <c r="AH212" s="272"/>
      <c r="AI212" s="272">
        <f>+I211*10000-AI211</f>
        <v>232442</v>
      </c>
      <c r="AJ212" s="272"/>
      <c r="AK212" s="272">
        <f>+AD212-AI212</f>
        <v>35879</v>
      </c>
      <c r="AL212" s="275"/>
      <c r="AM212" s="275"/>
      <c r="AN212" s="275"/>
      <c r="AO212" s="276"/>
    </row>
    <row r="213" s="1" customFormat="1" ht="21" customHeight="1" spans="1:42">
      <c r="A213" s="27"/>
      <c r="B213" s="12"/>
      <c r="C213" s="12"/>
      <c r="D213" s="28"/>
      <c r="E213" s="14"/>
      <c r="F213" s="12"/>
      <c r="G213" s="29"/>
      <c r="H213" s="29"/>
      <c r="I213" s="29"/>
      <c r="J213" s="29"/>
      <c r="K213" s="29"/>
      <c r="L213" s="12"/>
      <c r="M213" s="12"/>
      <c r="N213" s="30"/>
      <c r="O213" s="17"/>
      <c r="P213" s="31"/>
      <c r="Q213" s="19"/>
      <c r="R213" s="20"/>
      <c r="S213" s="21"/>
      <c r="T213" s="27"/>
      <c r="U213" s="27"/>
      <c r="V213" s="27"/>
      <c r="W213" s="27"/>
      <c r="X213" s="33"/>
      <c r="Y213" s="33"/>
      <c r="Z213" s="32"/>
      <c r="AA213" s="32"/>
      <c r="AB213" s="33"/>
      <c r="AC213" s="24"/>
      <c r="AD213" s="277">
        <v>79772</v>
      </c>
      <c r="AE213" s="278">
        <f>+(AD213+AD212+AD211)/AA211</f>
        <v>0.779999591005976</v>
      </c>
      <c r="AF213" s="279">
        <v>45869</v>
      </c>
      <c r="AG213" s="277"/>
      <c r="AH213" s="277">
        <v>79772</v>
      </c>
      <c r="AI213" s="277"/>
      <c r="AJ213" s="277"/>
      <c r="AK213" s="277">
        <f>79772-AH213</f>
        <v>0</v>
      </c>
      <c r="AL213" s="277"/>
      <c r="AM213" s="277"/>
      <c r="AN213" s="277"/>
      <c r="AO213" s="280">
        <f>-AH213</f>
        <v>-79772</v>
      </c>
    </row>
    <row r="214" s="1" customFormat="1" ht="21" customHeight="1" spans="1:42">
      <c r="A214" s="34"/>
      <c r="B214" s="12"/>
      <c r="C214" s="12"/>
      <c r="D214" s="35"/>
      <c r="E214" s="14"/>
      <c r="F214" s="12"/>
      <c r="G214" s="36"/>
      <c r="H214" s="36"/>
      <c r="I214" s="36"/>
      <c r="J214" s="36"/>
      <c r="K214" s="36"/>
      <c r="L214" s="12"/>
      <c r="M214" s="12"/>
      <c r="N214" s="30"/>
      <c r="O214" s="17"/>
      <c r="P214" s="31"/>
      <c r="Q214" s="19"/>
      <c r="R214" s="20"/>
      <c r="S214" s="21"/>
      <c r="T214" s="34"/>
      <c r="U214" s="34"/>
      <c r="V214" s="34"/>
      <c r="W214" s="34"/>
      <c r="X214" s="38"/>
      <c r="Y214" s="38"/>
      <c r="Z214" s="37"/>
      <c r="AA214" s="37"/>
      <c r="AB214" s="38"/>
      <c r="AC214" s="24"/>
      <c r="AD214" s="281"/>
      <c r="AE214" s="282"/>
      <c r="AF214" s="281"/>
      <c r="AG214" s="281"/>
      <c r="AH214" s="281"/>
      <c r="AI214" s="281"/>
      <c r="AJ214" s="281"/>
      <c r="AK214" s="281"/>
      <c r="AL214" s="281"/>
      <c r="AM214" s="281"/>
      <c r="AN214" s="281"/>
      <c r="AO214" s="283">
        <f>+AP211</f>
        <v>74806.03</v>
      </c>
    </row>
    <row r="215" s="1" customFormat="1" ht="21" customHeight="1" spans="1:42">
      <c r="A215" s="11">
        <v>53</v>
      </c>
      <c r="B215" s="12" t="s">
        <v>42</v>
      </c>
      <c r="C215" s="12" t="s">
        <v>43</v>
      </c>
      <c r="D215" s="13" t="s">
        <v>166</v>
      </c>
      <c r="E215" s="14" t="s">
        <v>45</v>
      </c>
      <c r="F215" s="12" t="s">
        <v>167</v>
      </c>
      <c r="G215" s="15">
        <v>80</v>
      </c>
      <c r="H215" s="15"/>
      <c r="I215" s="15">
        <v>45</v>
      </c>
      <c r="J215" s="15"/>
      <c r="K215" s="15">
        <v>35</v>
      </c>
      <c r="L215" s="12" t="s">
        <v>47</v>
      </c>
      <c r="M215" s="12" t="str">
        <f>F215</f>
        <v>小召乡绰韩村</v>
      </c>
      <c r="N215" s="30" t="s">
        <v>168</v>
      </c>
      <c r="O215" s="17">
        <v>45809</v>
      </c>
      <c r="P215" s="31" t="s">
        <v>49</v>
      </c>
      <c r="Q215" s="19" t="s">
        <v>50</v>
      </c>
      <c r="R215" s="20" t="s">
        <v>51</v>
      </c>
      <c r="S215" s="21"/>
      <c r="T215" s="11">
        <f>+H215+AH217/10000</f>
        <v>2.1443</v>
      </c>
      <c r="U215" s="11">
        <f>+I215+AI217/10000</f>
        <v>50.7706</v>
      </c>
      <c r="V215" s="11">
        <f>+J215</f>
        <v>0</v>
      </c>
      <c r="W215" s="11">
        <f>+K215-AH217/10000-AI217/10000</f>
        <v>27.0851</v>
      </c>
      <c r="X215" s="23">
        <v>743083.25</v>
      </c>
      <c r="Y215" s="23">
        <v>743083.25</v>
      </c>
      <c r="Z215" s="22">
        <v>719539.45</v>
      </c>
      <c r="AA215" s="22">
        <v>719539.45</v>
      </c>
      <c r="AB215" s="23"/>
      <c r="AC215" s="24"/>
      <c r="AD215" s="268">
        <v>215861</v>
      </c>
      <c r="AE215" s="269">
        <f>+AD215/AA215</f>
        <v>0.299998839535483</v>
      </c>
      <c r="AF215" s="270">
        <v>45834</v>
      </c>
      <c r="AG215" s="268"/>
      <c r="AH215" s="268"/>
      <c r="AI215" s="268">
        <f>+AD215</f>
        <v>215861</v>
      </c>
      <c r="AJ215" s="268"/>
      <c r="AK215" s="268"/>
      <c r="AL215" s="268"/>
      <c r="AM215" s="268"/>
      <c r="AN215" s="268"/>
      <c r="AO215" s="271">
        <f>+G215*10000-AA215</f>
        <v>80460.55</v>
      </c>
      <c r="AP215" s="1">
        <f>+G215*10000-AA215</f>
        <v>80460.55</v>
      </c>
    </row>
    <row r="216" s="1" customFormat="1" ht="21" customHeight="1" spans="1:42">
      <c r="A216" s="27"/>
      <c r="B216" s="12"/>
      <c r="C216" s="12"/>
      <c r="D216" s="28"/>
      <c r="E216" s="14"/>
      <c r="F216" s="12"/>
      <c r="G216" s="29"/>
      <c r="H216" s="29"/>
      <c r="I216" s="29"/>
      <c r="J216" s="29"/>
      <c r="K216" s="29"/>
      <c r="L216" s="12"/>
      <c r="M216" s="12"/>
      <c r="N216" s="30"/>
      <c r="O216" s="17"/>
      <c r="P216" s="31"/>
      <c r="Q216" s="19"/>
      <c r="R216" s="20"/>
      <c r="S216" s="21"/>
      <c r="T216" s="27"/>
      <c r="U216" s="27"/>
      <c r="V216" s="27"/>
      <c r="W216" s="27"/>
      <c r="X216" s="33"/>
      <c r="Y216" s="33"/>
      <c r="Z216" s="32"/>
      <c r="AA216" s="32"/>
      <c r="AB216" s="33"/>
      <c r="AC216" s="24"/>
      <c r="AD216" s="272">
        <v>266230</v>
      </c>
      <c r="AE216" s="273">
        <f>+(+AD215+AD216)/AA215</f>
        <v>0.669999400310852</v>
      </c>
      <c r="AF216" s="274">
        <v>45834</v>
      </c>
      <c r="AG216" s="272"/>
      <c r="AH216" s="272"/>
      <c r="AI216" s="272">
        <f>+I215*10000-AI215</f>
        <v>234139</v>
      </c>
      <c r="AJ216" s="272"/>
      <c r="AK216" s="272">
        <f>+AD216-AI216</f>
        <v>32091</v>
      </c>
      <c r="AL216" s="275"/>
      <c r="AM216" s="275"/>
      <c r="AN216" s="275"/>
      <c r="AO216" s="276"/>
    </row>
    <row r="217" s="1" customFormat="1" ht="21" customHeight="1" spans="1:42">
      <c r="A217" s="27"/>
      <c r="B217" s="12"/>
      <c r="C217" s="12"/>
      <c r="D217" s="28"/>
      <c r="E217" s="14"/>
      <c r="F217" s="12"/>
      <c r="G217" s="29"/>
      <c r="H217" s="29"/>
      <c r="I217" s="29"/>
      <c r="J217" s="29"/>
      <c r="K217" s="29"/>
      <c r="L217" s="12"/>
      <c r="M217" s="12"/>
      <c r="N217" s="30"/>
      <c r="O217" s="17"/>
      <c r="P217" s="31"/>
      <c r="Q217" s="19"/>
      <c r="R217" s="20"/>
      <c r="S217" s="21"/>
      <c r="T217" s="27"/>
      <c r="U217" s="27"/>
      <c r="V217" s="27"/>
      <c r="W217" s="27"/>
      <c r="X217" s="33"/>
      <c r="Y217" s="33"/>
      <c r="Z217" s="32"/>
      <c r="AA217" s="32"/>
      <c r="AB217" s="33"/>
      <c r="AC217" s="24"/>
      <c r="AD217" s="277">
        <v>79149</v>
      </c>
      <c r="AE217" s="278">
        <f>+(AD217+AD216+AD215)/AA215</f>
        <v>0.779998928481267</v>
      </c>
      <c r="AF217" s="279">
        <v>45869</v>
      </c>
      <c r="AG217" s="277"/>
      <c r="AH217" s="277">
        <v>21443</v>
      </c>
      <c r="AI217" s="277">
        <v>57706</v>
      </c>
      <c r="AJ217" s="277"/>
      <c r="AK217" s="277">
        <f>79149-AH217-AI217</f>
        <v>0</v>
      </c>
      <c r="AL217" s="277"/>
      <c r="AM217" s="277"/>
      <c r="AN217" s="277"/>
      <c r="AO217" s="280">
        <f>-AH217-AI217</f>
        <v>-79149</v>
      </c>
    </row>
    <row r="218" s="1" customFormat="1" ht="21" customHeight="1" spans="1:42">
      <c r="A218" s="34"/>
      <c r="B218" s="12"/>
      <c r="C218" s="12"/>
      <c r="D218" s="35"/>
      <c r="E218" s="14"/>
      <c r="F218" s="12"/>
      <c r="G218" s="36"/>
      <c r="H218" s="36"/>
      <c r="I218" s="36"/>
      <c r="J218" s="36"/>
      <c r="K218" s="36"/>
      <c r="L218" s="12"/>
      <c r="M218" s="12"/>
      <c r="N218" s="30"/>
      <c r="O218" s="17"/>
      <c r="P218" s="31"/>
      <c r="Q218" s="19"/>
      <c r="R218" s="20"/>
      <c r="S218" s="21"/>
      <c r="T218" s="34"/>
      <c r="U218" s="34"/>
      <c r="V218" s="34"/>
      <c r="W218" s="34"/>
      <c r="X218" s="38"/>
      <c r="Y218" s="38"/>
      <c r="Z218" s="37"/>
      <c r="AA218" s="37"/>
      <c r="AB218" s="38"/>
      <c r="AC218" s="24"/>
      <c r="AD218" s="281"/>
      <c r="AE218" s="282"/>
      <c r="AF218" s="281"/>
      <c r="AG218" s="281"/>
      <c r="AH218" s="281"/>
      <c r="AI218" s="281"/>
      <c r="AJ218" s="281"/>
      <c r="AK218" s="281"/>
      <c r="AL218" s="281"/>
      <c r="AM218" s="281"/>
      <c r="AN218" s="281"/>
      <c r="AO218" s="283">
        <f>+AP215</f>
        <v>80460.55</v>
      </c>
    </row>
    <row r="219" s="1" customFormat="1" ht="21" customHeight="1" spans="1:42">
      <c r="A219" s="11">
        <v>54</v>
      </c>
      <c r="B219" s="12" t="s">
        <v>42</v>
      </c>
      <c r="C219" s="12" t="s">
        <v>43</v>
      </c>
      <c r="D219" s="291" t="s">
        <v>169</v>
      </c>
      <c r="E219" s="14" t="s">
        <v>170</v>
      </c>
      <c r="F219" s="12" t="s">
        <v>171</v>
      </c>
      <c r="G219" s="15">
        <v>62</v>
      </c>
      <c r="H219" s="15">
        <v>47</v>
      </c>
      <c r="I219" s="15">
        <v>15</v>
      </c>
      <c r="J219" s="15"/>
      <c r="K219" s="15"/>
      <c r="L219" s="12" t="s">
        <v>47</v>
      </c>
      <c r="M219" s="12" t="str">
        <f>F219</f>
        <v>艾庄乡艾庄社区</v>
      </c>
      <c r="N219" s="16" t="s">
        <v>172</v>
      </c>
      <c r="O219" s="17">
        <v>45778</v>
      </c>
      <c r="P219" s="18" t="s">
        <v>173</v>
      </c>
      <c r="Q219" s="19" t="s">
        <v>50</v>
      </c>
      <c r="R219" s="20" t="s">
        <v>174</v>
      </c>
      <c r="S219" s="21" t="s">
        <v>175</v>
      </c>
      <c r="T219" s="30"/>
      <c r="U219" s="30"/>
      <c r="V219" s="30"/>
      <c r="W219" s="30"/>
      <c r="X219" s="51"/>
      <c r="Y219" s="24"/>
      <c r="Z219" s="24"/>
      <c r="AA219" s="24">
        <v>291530</v>
      </c>
      <c r="AB219" s="24"/>
      <c r="AC219" s="24"/>
      <c r="AD219" s="24">
        <v>291530</v>
      </c>
      <c r="AE219" s="25">
        <v>1</v>
      </c>
      <c r="AF219" s="255">
        <v>45965</v>
      </c>
      <c r="AG219" s="24"/>
      <c r="AH219" s="24">
        <v>291530</v>
      </c>
      <c r="AI219" s="24"/>
      <c r="AJ219" s="24"/>
      <c r="AK219" s="24"/>
      <c r="AL219" s="24"/>
      <c r="AM219" s="24"/>
      <c r="AN219" s="24"/>
      <c r="AO219" s="26"/>
    </row>
    <row r="220" s="1" customFormat="1" ht="40.5" spans="1:42">
      <c r="A220" s="27"/>
      <c r="B220" s="12"/>
      <c r="C220" s="12"/>
      <c r="D220" s="291" t="s">
        <v>176</v>
      </c>
      <c r="E220" s="14"/>
      <c r="F220" s="12"/>
      <c r="G220" s="29"/>
      <c r="H220" s="29"/>
      <c r="I220" s="29"/>
      <c r="J220" s="29"/>
      <c r="K220" s="29"/>
      <c r="L220" s="12"/>
      <c r="M220" s="12"/>
      <c r="N220" s="30"/>
      <c r="O220" s="17"/>
      <c r="P220" s="31"/>
      <c r="Q220" s="19"/>
      <c r="R220" s="20"/>
      <c r="S220" s="21"/>
      <c r="T220" s="30"/>
      <c r="U220" s="30"/>
      <c r="V220" s="30"/>
      <c r="W220" s="30"/>
      <c r="X220" s="51">
        <v>327417.21</v>
      </c>
      <c r="Y220" s="24">
        <v>327417.21</v>
      </c>
      <c r="Z220" s="24">
        <v>327417.21</v>
      </c>
      <c r="AA220" s="24">
        <v>327417.21</v>
      </c>
      <c r="AB220" s="24"/>
      <c r="AC220" s="24"/>
      <c r="AD220" s="24"/>
      <c r="AE220" s="25"/>
      <c r="AF220" s="24"/>
      <c r="AG220" s="24"/>
      <c r="AH220" s="24"/>
      <c r="AI220" s="24"/>
      <c r="AJ220" s="24"/>
      <c r="AK220" s="24"/>
      <c r="AL220" s="24"/>
      <c r="AM220" s="24"/>
      <c r="AN220" s="24"/>
      <c r="AO220" s="26"/>
    </row>
    <row r="221" s="1" customFormat="1" ht="21" customHeight="1" spans="1:42">
      <c r="A221" s="11">
        <v>55</v>
      </c>
      <c r="B221" s="12" t="s">
        <v>42</v>
      </c>
      <c r="C221" s="12" t="s">
        <v>43</v>
      </c>
      <c r="D221" s="13" t="s">
        <v>177</v>
      </c>
      <c r="E221" s="14" t="s">
        <v>178</v>
      </c>
      <c r="F221" s="12" t="s">
        <v>179</v>
      </c>
      <c r="G221" s="15">
        <v>29</v>
      </c>
      <c r="H221" s="15"/>
      <c r="I221" s="15">
        <v>29</v>
      </c>
      <c r="J221" s="15"/>
      <c r="K221" s="15"/>
      <c r="L221" s="12"/>
      <c r="M221" s="12"/>
      <c r="N221" s="16"/>
      <c r="O221" s="39">
        <v>45778</v>
      </c>
      <c r="P221" s="18"/>
      <c r="Q221" s="19"/>
      <c r="R221" s="40"/>
      <c r="S221" s="41"/>
      <c r="T221" s="13"/>
      <c r="U221" s="13"/>
      <c r="V221" s="13"/>
      <c r="W221" s="13"/>
      <c r="X221" s="22">
        <v>288000</v>
      </c>
      <c r="Y221" s="23"/>
      <c r="Z221" s="23"/>
      <c r="AA221" s="23"/>
      <c r="AB221" s="23"/>
      <c r="AC221" s="24"/>
      <c r="AD221" s="24">
        <v>288000</v>
      </c>
      <c r="AE221" s="25"/>
      <c r="AF221" s="24"/>
      <c r="AG221" s="24"/>
      <c r="AH221" s="24"/>
      <c r="AI221" s="24"/>
      <c r="AJ221" s="24"/>
      <c r="AK221" s="24"/>
      <c r="AL221" s="24"/>
      <c r="AM221" s="24"/>
      <c r="AN221" s="24"/>
      <c r="AO221" s="26"/>
    </row>
    <row r="222" s="1" customFormat="1" ht="21" customHeight="1" spans="1:42">
      <c r="A222" s="27"/>
      <c r="B222" s="12"/>
      <c r="C222" s="12"/>
      <c r="D222" s="28"/>
      <c r="E222" s="14"/>
      <c r="F222" s="12"/>
      <c r="G222" s="29"/>
      <c r="H222" s="29"/>
      <c r="I222" s="29"/>
      <c r="J222" s="29"/>
      <c r="K222" s="29"/>
      <c r="L222" s="12"/>
      <c r="M222" s="12"/>
      <c r="N222" s="30"/>
      <c r="O222" s="17"/>
      <c r="P222" s="31"/>
      <c r="Q222" s="19"/>
      <c r="R222" s="20"/>
      <c r="S222" s="21"/>
      <c r="T222" s="27"/>
      <c r="U222" s="27"/>
      <c r="V222" s="27"/>
      <c r="W222" s="27"/>
      <c r="X222" s="32"/>
      <c r="Y222" s="33"/>
      <c r="Z222" s="33"/>
      <c r="AA222" s="33"/>
      <c r="AB222" s="33"/>
      <c r="AC222" s="24"/>
      <c r="AD222" s="24"/>
      <c r="AE222" s="25"/>
      <c r="AF222" s="24"/>
      <c r="AG222" s="24"/>
      <c r="AH222" s="24"/>
      <c r="AI222" s="24"/>
      <c r="AJ222" s="24"/>
      <c r="AK222" s="24"/>
      <c r="AL222" s="24"/>
      <c r="AM222" s="24"/>
      <c r="AN222" s="24"/>
      <c r="AO222" s="26"/>
    </row>
    <row r="223" s="1" customFormat="1" ht="21" customHeight="1" spans="1:42">
      <c r="A223" s="30">
        <v>56</v>
      </c>
      <c r="B223" s="12" t="s">
        <v>42</v>
      </c>
      <c r="C223" s="12" t="s">
        <v>43</v>
      </c>
      <c r="D223" s="12" t="s">
        <v>180</v>
      </c>
      <c r="E223" s="14" t="s">
        <v>181</v>
      </c>
      <c r="F223" s="12" t="s">
        <v>182</v>
      </c>
      <c r="G223" s="16">
        <v>180</v>
      </c>
      <c r="H223" s="16"/>
      <c r="I223" s="16"/>
      <c r="J223" s="16"/>
      <c r="K223" s="16">
        <v>180</v>
      </c>
      <c r="L223" s="12" t="s">
        <v>47</v>
      </c>
      <c r="M223" s="12" t="s">
        <v>182</v>
      </c>
      <c r="N223" s="16" t="s">
        <v>183</v>
      </c>
      <c r="O223" s="42">
        <v>45962</v>
      </c>
      <c r="P223" s="14" t="s">
        <v>184</v>
      </c>
      <c r="Q223" s="19" t="s">
        <v>50</v>
      </c>
      <c r="R223" s="40" t="s">
        <v>185</v>
      </c>
      <c r="S223" s="41"/>
      <c r="T223" s="49"/>
      <c r="U223" s="49"/>
      <c r="V223" s="49"/>
      <c r="W223" s="49"/>
      <c r="X223" s="43" t="s">
        <v>186</v>
      </c>
      <c r="Y223" s="44"/>
      <c r="Z223" s="44"/>
      <c r="AA223" s="44"/>
      <c r="AB223" s="45"/>
      <c r="AC223" s="24"/>
      <c r="AD223" s="24"/>
      <c r="AE223" s="25"/>
      <c r="AF223" s="24"/>
      <c r="AG223" s="24"/>
      <c r="AH223" s="24"/>
      <c r="AI223" s="24"/>
      <c r="AJ223" s="24"/>
      <c r="AK223" s="24"/>
      <c r="AL223" s="24"/>
      <c r="AM223" s="24"/>
      <c r="AN223" s="24"/>
      <c r="AO223" s="26"/>
    </row>
    <row r="224" s="1" customFormat="1" ht="21" customHeight="1" spans="1:42">
      <c r="A224" s="30">
        <v>1</v>
      </c>
      <c r="B224" s="46" t="s">
        <v>187</v>
      </c>
      <c r="C224" s="46" t="s">
        <v>188</v>
      </c>
      <c r="D224" s="46"/>
      <c r="E224" s="47"/>
      <c r="F224" s="48"/>
      <c r="G224" s="16">
        <f>SUM(G225)</f>
        <v>21</v>
      </c>
      <c r="H224" s="16">
        <f>SUM(H225)</f>
        <v>0</v>
      </c>
      <c r="I224" s="16">
        <f>SUM(I225)</f>
        <v>21</v>
      </c>
      <c r="J224" s="16">
        <f>SUM(J225)</f>
        <v>0</v>
      </c>
      <c r="K224" s="16">
        <f>SUM(K225)</f>
        <v>0</v>
      </c>
      <c r="L224" s="49"/>
      <c r="M224" s="46"/>
      <c r="N224" s="46"/>
      <c r="O224" s="46"/>
      <c r="P224" s="46"/>
      <c r="Q224" s="46"/>
      <c r="R224" s="46"/>
      <c r="S224" s="50"/>
      <c r="T224" s="48"/>
      <c r="U224" s="48"/>
      <c r="V224" s="48"/>
      <c r="W224" s="48"/>
      <c r="X224" s="51"/>
      <c r="Y224" s="24"/>
      <c r="Z224" s="24"/>
      <c r="AA224" s="24"/>
      <c r="AB224" s="24"/>
      <c r="AC224" s="24"/>
      <c r="AD224" s="24"/>
      <c r="AE224" s="25"/>
      <c r="AF224" s="24"/>
      <c r="AG224" s="24"/>
      <c r="AH224" s="24"/>
      <c r="AI224" s="24"/>
      <c r="AJ224" s="24"/>
      <c r="AK224" s="24"/>
      <c r="AL224" s="24"/>
      <c r="AM224" s="24"/>
      <c r="AN224" s="24"/>
      <c r="AO224" s="26"/>
    </row>
    <row r="225" s="1" customFormat="1" ht="21" customHeight="1" spans="1:43">
      <c r="A225" s="11">
        <v>1</v>
      </c>
      <c r="B225" s="12" t="s">
        <v>189</v>
      </c>
      <c r="C225" s="12" t="s">
        <v>43</v>
      </c>
      <c r="D225" s="13" t="s">
        <v>190</v>
      </c>
      <c r="E225" s="14" t="s">
        <v>191</v>
      </c>
      <c r="F225" s="12" t="s">
        <v>179</v>
      </c>
      <c r="G225" s="15">
        <v>21</v>
      </c>
      <c r="H225" s="15"/>
      <c r="I225" s="15">
        <v>21</v>
      </c>
      <c r="J225" s="15"/>
      <c r="K225" s="15"/>
      <c r="L225" s="12" t="s">
        <v>47</v>
      </c>
      <c r="M225" s="12" t="str">
        <f>F225</f>
        <v>陈曹乡许东村</v>
      </c>
      <c r="N225" s="30" t="s">
        <v>192</v>
      </c>
      <c r="O225" s="17">
        <v>45809</v>
      </c>
      <c r="P225" s="31" t="s">
        <v>193</v>
      </c>
      <c r="Q225" s="19" t="s">
        <v>50</v>
      </c>
      <c r="R225" s="20" t="s">
        <v>194</v>
      </c>
      <c r="S225" s="21" t="s">
        <v>195</v>
      </c>
      <c r="T225" s="11"/>
      <c r="U225" s="11"/>
      <c r="V225" s="11"/>
      <c r="W225" s="11"/>
      <c r="X225" s="22">
        <v>194293.12</v>
      </c>
      <c r="Y225" s="23">
        <v>194293.12</v>
      </c>
      <c r="Z225" s="23">
        <v>193560</v>
      </c>
      <c r="AA225" s="23">
        <v>193560</v>
      </c>
      <c r="AB225" s="23">
        <v>193560</v>
      </c>
      <c r="AC225" s="24">
        <v>193560</v>
      </c>
      <c r="AD225" s="24">
        <v>193560</v>
      </c>
      <c r="AE225" s="25">
        <f>+AD225/AB225</f>
        <v>1</v>
      </c>
      <c r="AF225" s="255">
        <v>45960</v>
      </c>
      <c r="AG225" s="24"/>
      <c r="AH225" s="24"/>
      <c r="AI225" s="24">
        <v>193560</v>
      </c>
      <c r="AJ225" s="24"/>
      <c r="AK225" s="24"/>
      <c r="AL225" s="24"/>
      <c r="AM225" s="24"/>
      <c r="AN225" s="24"/>
      <c r="AO225" s="26"/>
    </row>
    <row r="226" s="1" customFormat="1" ht="21" customHeight="1" spans="1:43">
      <c r="A226" s="30">
        <v>4</v>
      </c>
      <c r="B226" s="46" t="s">
        <v>196</v>
      </c>
      <c r="C226" s="46" t="s">
        <v>196</v>
      </c>
      <c r="D226" s="46"/>
      <c r="E226" s="47"/>
      <c r="F226" s="48"/>
      <c r="G226" s="16">
        <f>SUM(G227:G232)</f>
        <v>230</v>
      </c>
      <c r="H226" s="16">
        <f>SUM(H227:H232)</f>
        <v>0</v>
      </c>
      <c r="I226" s="16">
        <f>SUM(I227:I232)</f>
        <v>0</v>
      </c>
      <c r="J226" s="16">
        <f>SUM(J227:J232)</f>
        <v>0</v>
      </c>
      <c r="K226" s="16">
        <f>SUM(K227:K232)</f>
        <v>230</v>
      </c>
      <c r="L226" s="49"/>
      <c r="M226" s="46"/>
      <c r="N226" s="46"/>
      <c r="O226" s="46"/>
      <c r="P226" s="46"/>
      <c r="Q226" s="46"/>
      <c r="R226" s="46"/>
      <c r="S226" s="50"/>
      <c r="T226" s="48"/>
      <c r="U226" s="48"/>
      <c r="V226" s="48"/>
      <c r="W226" s="48"/>
      <c r="X226" s="51"/>
      <c r="Y226" s="24"/>
      <c r="Z226" s="24"/>
      <c r="AA226" s="24"/>
      <c r="AB226" s="24"/>
      <c r="AC226" s="24"/>
      <c r="AD226" s="24"/>
      <c r="AE226" s="25"/>
      <c r="AF226" s="24"/>
      <c r="AG226" s="24"/>
      <c r="AH226" s="24"/>
      <c r="AI226" s="24"/>
      <c r="AJ226" s="24"/>
      <c r="AK226" s="24"/>
      <c r="AL226" s="24"/>
      <c r="AM226" s="24"/>
      <c r="AN226" s="24"/>
      <c r="AO226" s="26"/>
    </row>
    <row r="227" s="1" customFormat="1" ht="21" customHeight="1" spans="1:43">
      <c r="A227" s="11">
        <v>1</v>
      </c>
      <c r="B227" s="12" t="s">
        <v>197</v>
      </c>
      <c r="C227" s="12" t="s">
        <v>43</v>
      </c>
      <c r="D227" s="13" t="s">
        <v>198</v>
      </c>
      <c r="E227" s="14" t="s">
        <v>199</v>
      </c>
      <c r="F227" s="12" t="s">
        <v>182</v>
      </c>
      <c r="G227" s="15">
        <v>100</v>
      </c>
      <c r="H227" s="15"/>
      <c r="I227" s="15"/>
      <c r="J227" s="15"/>
      <c r="K227" s="15">
        <v>100</v>
      </c>
      <c r="L227" s="12" t="s">
        <v>47</v>
      </c>
      <c r="M227" s="12" t="s">
        <v>182</v>
      </c>
      <c r="N227" s="16" t="s">
        <v>200</v>
      </c>
      <c r="O227" s="17">
        <v>45962</v>
      </c>
      <c r="P227" s="14" t="s">
        <v>201</v>
      </c>
      <c r="Q227" s="19" t="s">
        <v>50</v>
      </c>
      <c r="R227" s="40" t="s">
        <v>185</v>
      </c>
      <c r="S227" s="41"/>
      <c r="T227" s="292"/>
      <c r="U227" s="292"/>
      <c r="V227" s="292"/>
      <c r="W227" s="292"/>
      <c r="X227" s="52" t="s">
        <v>202</v>
      </c>
      <c r="Y227" s="53"/>
      <c r="Z227" s="53"/>
      <c r="AA227" s="53"/>
      <c r="AB227" s="54"/>
      <c r="AC227" s="24"/>
      <c r="AD227" s="24">
        <v>430000</v>
      </c>
      <c r="AE227" s="25"/>
      <c r="AF227" s="255">
        <v>45988</v>
      </c>
      <c r="AG227" s="24"/>
      <c r="AH227" s="24"/>
      <c r="AI227" s="24"/>
      <c r="AJ227" s="24"/>
      <c r="AK227" s="24">
        <v>430000</v>
      </c>
      <c r="AL227" s="24"/>
      <c r="AM227" s="24"/>
      <c r="AN227" s="24"/>
      <c r="AO227" s="26"/>
    </row>
    <row r="228" s="1" customFormat="1" ht="21" customHeight="1" spans="1:43">
      <c r="A228" s="27"/>
      <c r="B228" s="12"/>
      <c r="C228" s="12"/>
      <c r="D228" s="28"/>
      <c r="E228" s="14"/>
      <c r="F228" s="12"/>
      <c r="G228" s="29"/>
      <c r="H228" s="29"/>
      <c r="I228" s="29"/>
      <c r="J228" s="29"/>
      <c r="K228" s="29"/>
      <c r="L228" s="12"/>
      <c r="M228" s="12"/>
      <c r="N228" s="30"/>
      <c r="O228" s="17"/>
      <c r="P228" s="31"/>
      <c r="Q228" s="19"/>
      <c r="R228" s="20"/>
      <c r="S228" s="21"/>
      <c r="T228" s="293"/>
      <c r="U228" s="293"/>
      <c r="V228" s="293"/>
      <c r="W228" s="293"/>
      <c r="X228" s="55"/>
      <c r="Y228" s="7"/>
      <c r="Z228" s="7"/>
      <c r="AA228" s="7"/>
      <c r="AB228" s="56"/>
      <c r="AC228" s="24"/>
      <c r="AD228" s="24"/>
      <c r="AE228" s="25"/>
      <c r="AF228" s="24"/>
      <c r="AG228" s="24"/>
      <c r="AH228" s="24"/>
      <c r="AI228" s="24"/>
      <c r="AJ228" s="24"/>
      <c r="AK228" s="24"/>
      <c r="AL228" s="24"/>
      <c r="AM228" s="24"/>
      <c r="AN228" s="24"/>
      <c r="AO228" s="26"/>
    </row>
    <row r="229" s="1" customFormat="1" ht="21" customHeight="1" spans="1:43">
      <c r="A229" s="34"/>
      <c r="B229" s="12"/>
      <c r="C229" s="12"/>
      <c r="D229" s="35"/>
      <c r="E229" s="14"/>
      <c r="F229" s="12"/>
      <c r="G229" s="36"/>
      <c r="H229" s="36"/>
      <c r="I229" s="36"/>
      <c r="J229" s="36"/>
      <c r="K229" s="36"/>
      <c r="L229" s="12"/>
      <c r="M229" s="12"/>
      <c r="N229" s="30"/>
      <c r="O229" s="17"/>
      <c r="P229" s="31"/>
      <c r="Q229" s="19"/>
      <c r="R229" s="20"/>
      <c r="S229" s="21"/>
      <c r="T229" s="294"/>
      <c r="U229" s="294"/>
      <c r="V229" s="294"/>
      <c r="W229" s="294"/>
      <c r="X229" s="57"/>
      <c r="Y229" s="58"/>
      <c r="Z229" s="58"/>
      <c r="AA229" s="58"/>
      <c r="AB229" s="59"/>
      <c r="AC229" s="24"/>
      <c r="AD229" s="24"/>
      <c r="AE229" s="25"/>
      <c r="AF229" s="24"/>
      <c r="AG229" s="24"/>
      <c r="AH229" s="24"/>
      <c r="AI229" s="24"/>
      <c r="AJ229" s="24"/>
      <c r="AK229" s="24"/>
      <c r="AL229" s="24"/>
      <c r="AM229" s="24"/>
      <c r="AN229" s="24"/>
      <c r="AO229" s="26"/>
    </row>
    <row r="230" s="1" customFormat="1" ht="21" customHeight="1" spans="1:43">
      <c r="A230" s="11">
        <v>2</v>
      </c>
      <c r="B230" s="12" t="s">
        <v>197</v>
      </c>
      <c r="C230" s="12" t="s">
        <v>43</v>
      </c>
      <c r="D230" s="13" t="s">
        <v>203</v>
      </c>
      <c r="E230" s="14" t="s">
        <v>204</v>
      </c>
      <c r="F230" s="12" t="s">
        <v>182</v>
      </c>
      <c r="G230" s="15">
        <v>10</v>
      </c>
      <c r="H230" s="15"/>
      <c r="I230" s="15"/>
      <c r="J230" s="15"/>
      <c r="K230" s="15">
        <v>10</v>
      </c>
      <c r="L230" s="12" t="s">
        <v>47</v>
      </c>
      <c r="M230" s="12" t="s">
        <v>182</v>
      </c>
      <c r="N230" s="16" t="s">
        <v>200</v>
      </c>
      <c r="O230" s="17">
        <v>45809</v>
      </c>
      <c r="P230" s="14" t="s">
        <v>204</v>
      </c>
      <c r="Q230" s="19" t="s">
        <v>50</v>
      </c>
      <c r="R230" s="40" t="s">
        <v>205</v>
      </c>
      <c r="S230" s="41"/>
      <c r="T230" s="13"/>
      <c r="U230" s="13"/>
      <c r="V230" s="13"/>
      <c r="W230" s="13"/>
      <c r="X230" s="22"/>
      <c r="Y230" s="23"/>
      <c r="Z230" s="23"/>
      <c r="AA230" s="23"/>
      <c r="AB230" s="23"/>
      <c r="AC230" s="24"/>
      <c r="AD230" s="24"/>
      <c r="AE230" s="25"/>
      <c r="AF230" s="24"/>
      <c r="AG230" s="24"/>
      <c r="AH230" s="24"/>
      <c r="AI230" s="24"/>
      <c r="AJ230" s="24"/>
      <c r="AK230" s="24"/>
      <c r="AL230" s="24"/>
      <c r="AM230" s="24"/>
      <c r="AN230" s="24"/>
      <c r="AO230" s="26"/>
    </row>
    <row r="231" s="1" customFormat="1" ht="33" customHeight="1" spans="1:43">
      <c r="A231" s="11">
        <v>3</v>
      </c>
      <c r="B231" s="12" t="s">
        <v>197</v>
      </c>
      <c r="C231" s="12" t="s">
        <v>43</v>
      </c>
      <c r="D231" s="13" t="s">
        <v>206</v>
      </c>
      <c r="E231" s="14" t="s">
        <v>207</v>
      </c>
      <c r="F231" s="12" t="s">
        <v>182</v>
      </c>
      <c r="G231" s="15">
        <v>60</v>
      </c>
      <c r="H231" s="15"/>
      <c r="I231" s="15"/>
      <c r="J231" s="15"/>
      <c r="K231" s="15">
        <v>60</v>
      </c>
      <c r="L231" s="12" t="s">
        <v>47</v>
      </c>
      <c r="M231" s="12" t="s">
        <v>182</v>
      </c>
      <c r="N231" s="12" t="s">
        <v>208</v>
      </c>
      <c r="O231" s="17">
        <v>45717</v>
      </c>
      <c r="P231" s="14" t="s">
        <v>209</v>
      </c>
      <c r="Q231" s="19" t="s">
        <v>50</v>
      </c>
      <c r="R231" s="40" t="s">
        <v>210</v>
      </c>
      <c r="S231" s="41"/>
      <c r="T231" s="13"/>
      <c r="U231" s="13"/>
      <c r="V231" s="13"/>
      <c r="W231" s="13"/>
      <c r="X231" s="22"/>
      <c r="Y231" s="23"/>
      <c r="Z231" s="23"/>
      <c r="AA231" s="23"/>
      <c r="AB231" s="23"/>
      <c r="AC231" s="24"/>
      <c r="AD231" s="24">
        <v>463500</v>
      </c>
      <c r="AE231" s="25"/>
      <c r="AF231" s="255">
        <v>45898</v>
      </c>
      <c r="AG231" s="24"/>
      <c r="AH231" s="24"/>
      <c r="AI231" s="24">
        <v>463500</v>
      </c>
      <c r="AJ231" s="24"/>
      <c r="AK231" s="24">
        <f>600000-600000</f>
        <v>0</v>
      </c>
      <c r="AL231" s="24"/>
      <c r="AM231" s="24">
        <f>500000-AI231</f>
        <v>36500</v>
      </c>
      <c r="AN231" s="24"/>
      <c r="AO231" s="26">
        <v>100000</v>
      </c>
    </row>
    <row r="232" s="1" customFormat="1" ht="33" customHeight="1" spans="1:43">
      <c r="A232" s="11">
        <v>4</v>
      </c>
      <c r="B232" s="12" t="s">
        <v>197</v>
      </c>
      <c r="C232" s="60" t="s">
        <v>43</v>
      </c>
      <c r="D232" s="13" t="s">
        <v>211</v>
      </c>
      <c r="E232" s="61" t="s">
        <v>207</v>
      </c>
      <c r="F232" s="60" t="s">
        <v>182</v>
      </c>
      <c r="G232" s="15">
        <v>60</v>
      </c>
      <c r="H232" s="15"/>
      <c r="I232" s="15"/>
      <c r="J232" s="15"/>
      <c r="K232" s="15">
        <v>60</v>
      </c>
      <c r="L232" s="12" t="s">
        <v>47</v>
      </c>
      <c r="M232" s="12" t="s">
        <v>182</v>
      </c>
      <c r="N232" s="60" t="s">
        <v>208</v>
      </c>
      <c r="O232" s="17">
        <v>45870</v>
      </c>
      <c r="P232" s="61" t="s">
        <v>209</v>
      </c>
      <c r="Q232" s="19" t="s">
        <v>50</v>
      </c>
      <c r="R232" s="62" t="s">
        <v>210</v>
      </c>
      <c r="S232" s="41"/>
      <c r="T232" s="13"/>
      <c r="U232" s="13"/>
      <c r="V232" s="13"/>
      <c r="W232" s="13"/>
      <c r="X232" s="22"/>
      <c r="Y232" s="23"/>
      <c r="Z232" s="23"/>
      <c r="AA232" s="23"/>
      <c r="AB232" s="23"/>
      <c r="AC232" s="24"/>
      <c r="AD232" s="295">
        <v>391500</v>
      </c>
      <c r="AE232" s="25"/>
      <c r="AF232" s="255">
        <v>45988</v>
      </c>
      <c r="AG232" s="24"/>
      <c r="AH232" s="24"/>
      <c r="AI232" s="24"/>
      <c r="AJ232" s="24"/>
      <c r="AK232" s="24">
        <v>391500</v>
      </c>
      <c r="AL232" s="24"/>
      <c r="AM232" s="24"/>
      <c r="AN232" s="24"/>
      <c r="AO232" s="26"/>
    </row>
    <row r="233" s="1" customFormat="1" ht="21" customHeight="1" spans="1:43">
      <c r="A233" s="30">
        <v>3</v>
      </c>
      <c r="B233" s="46" t="s">
        <v>212</v>
      </c>
      <c r="C233" s="46"/>
      <c r="D233" s="46"/>
      <c r="E233" s="47"/>
      <c r="F233" s="48"/>
      <c r="G233" s="16">
        <f>SUM(G234:G236)</f>
        <v>130</v>
      </c>
      <c r="H233" s="16">
        <f>SUM(H234:H236)</f>
        <v>20</v>
      </c>
      <c r="I233" s="16">
        <f>SUM(I234:I236)</f>
        <v>6</v>
      </c>
      <c r="J233" s="16">
        <f>SUM(J234:J236)</f>
        <v>49</v>
      </c>
      <c r="K233" s="16">
        <f>SUM(K234:K236)</f>
        <v>55</v>
      </c>
      <c r="L233" s="49"/>
      <c r="M233" s="46"/>
      <c r="N233" s="46"/>
      <c r="O233" s="46"/>
      <c r="P233" s="46"/>
      <c r="Q233" s="46"/>
      <c r="R233" s="46"/>
      <c r="S233" s="50"/>
      <c r="T233" s="48"/>
      <c r="U233" s="48"/>
      <c r="V233" s="48"/>
      <c r="W233" s="48"/>
      <c r="X233" s="51"/>
      <c r="Y233" s="24"/>
      <c r="Z233" s="24"/>
      <c r="AA233" s="24"/>
      <c r="AB233" s="24"/>
      <c r="AC233" s="24"/>
      <c r="AD233" s="24"/>
      <c r="AE233" s="25"/>
      <c r="AF233" s="24"/>
      <c r="AG233" s="24"/>
      <c r="AH233" s="24"/>
      <c r="AI233" s="24"/>
      <c r="AJ233" s="24"/>
      <c r="AK233" s="24"/>
      <c r="AL233" s="24"/>
      <c r="AM233" s="24"/>
      <c r="AN233" s="24"/>
      <c r="AO233" s="26"/>
    </row>
    <row r="234" s="1" customFormat="1" ht="21" customHeight="1" spans="1:43">
      <c r="A234" s="30">
        <v>1</v>
      </c>
      <c r="B234" s="12" t="s">
        <v>213</v>
      </c>
      <c r="C234" s="12" t="s">
        <v>43</v>
      </c>
      <c r="D234" s="12" t="s">
        <v>214</v>
      </c>
      <c r="E234" s="14" t="s">
        <v>215</v>
      </c>
      <c r="F234" s="12" t="s">
        <v>216</v>
      </c>
      <c r="G234" s="16">
        <v>40</v>
      </c>
      <c r="H234" s="16"/>
      <c r="I234" s="16"/>
      <c r="J234" s="16">
        <v>40</v>
      </c>
      <c r="K234" s="16"/>
      <c r="L234" s="12" t="s">
        <v>47</v>
      </c>
      <c r="M234" s="12" t="s">
        <v>216</v>
      </c>
      <c r="N234" s="12" t="s">
        <v>208</v>
      </c>
      <c r="O234" s="17">
        <v>45809</v>
      </c>
      <c r="P234" s="14" t="s">
        <v>217</v>
      </c>
      <c r="Q234" s="19" t="s">
        <v>50</v>
      </c>
      <c r="R234" s="40" t="s">
        <v>218</v>
      </c>
      <c r="S234" s="63"/>
      <c r="T234" s="16"/>
      <c r="U234" s="16"/>
      <c r="V234" s="16"/>
      <c r="W234" s="16"/>
      <c r="X234" s="51"/>
      <c r="Y234" s="24"/>
      <c r="Z234" s="24"/>
      <c r="AA234" s="24"/>
      <c r="AB234" s="24"/>
      <c r="AC234" s="24"/>
      <c r="AD234" s="24"/>
      <c r="AE234" s="25"/>
      <c r="AF234" s="24"/>
      <c r="AG234" s="24"/>
      <c r="AH234" s="24"/>
      <c r="AI234" s="24"/>
      <c r="AJ234" s="24"/>
      <c r="AK234" s="24"/>
      <c r="AL234" s="24"/>
      <c r="AM234" s="24"/>
      <c r="AN234" s="24"/>
      <c r="AO234" s="26"/>
    </row>
    <row r="235" s="1" customFormat="1" ht="21" customHeight="1" spans="1:43">
      <c r="A235" s="30">
        <v>2</v>
      </c>
      <c r="B235" s="12" t="s">
        <v>213</v>
      </c>
      <c r="C235" s="12" t="s">
        <v>43</v>
      </c>
      <c r="D235" s="12" t="s">
        <v>219</v>
      </c>
      <c r="E235" s="14" t="s">
        <v>220</v>
      </c>
      <c r="F235" s="12" t="s">
        <v>221</v>
      </c>
      <c r="G235" s="16">
        <v>30</v>
      </c>
      <c r="H235" s="16"/>
      <c r="I235" s="16"/>
      <c r="J235" s="16"/>
      <c r="K235" s="16">
        <v>30</v>
      </c>
      <c r="L235" s="12" t="s">
        <v>47</v>
      </c>
      <c r="M235" s="12" t="s">
        <v>221</v>
      </c>
      <c r="N235" s="12" t="s">
        <v>208</v>
      </c>
      <c r="O235" s="17">
        <v>45809</v>
      </c>
      <c r="P235" s="14" t="s">
        <v>222</v>
      </c>
      <c r="Q235" s="19" t="s">
        <v>50</v>
      </c>
      <c r="R235" s="40" t="s">
        <v>218</v>
      </c>
      <c r="S235" s="63"/>
      <c r="T235" s="16"/>
      <c r="U235" s="16"/>
      <c r="V235" s="16"/>
      <c r="W235" s="16"/>
      <c r="X235" s="51"/>
      <c r="Y235" s="24"/>
      <c r="Z235" s="24"/>
      <c r="AA235" s="24"/>
      <c r="AB235" s="24"/>
      <c r="AC235" s="24"/>
      <c r="AD235" s="24"/>
      <c r="AE235" s="25"/>
      <c r="AF235" s="24"/>
      <c r="AG235" s="24"/>
      <c r="AH235" s="24"/>
      <c r="AI235" s="24"/>
      <c r="AJ235" s="24"/>
      <c r="AK235" s="24"/>
      <c r="AL235" s="24"/>
      <c r="AM235" s="24"/>
      <c r="AN235" s="24"/>
      <c r="AO235" s="26"/>
    </row>
    <row r="236" s="1" customFormat="1" ht="21" customHeight="1" spans="1:43">
      <c r="A236" s="11">
        <v>3</v>
      </c>
      <c r="B236" s="12" t="s">
        <v>213</v>
      </c>
      <c r="C236" s="12" t="s">
        <v>43</v>
      </c>
      <c r="D236" s="64" t="s">
        <v>223</v>
      </c>
      <c r="E236" s="14" t="s">
        <v>224</v>
      </c>
      <c r="F236" s="60" t="s">
        <v>182</v>
      </c>
      <c r="G236" s="15">
        <v>60</v>
      </c>
      <c r="H236" s="15">
        <v>20</v>
      </c>
      <c r="I236" s="15">
        <v>6</v>
      </c>
      <c r="J236" s="15">
        <v>9</v>
      </c>
      <c r="K236" s="15">
        <v>25</v>
      </c>
      <c r="L236" s="12" t="s">
        <v>47</v>
      </c>
      <c r="M236" s="12"/>
      <c r="N236" s="12" t="s">
        <v>208</v>
      </c>
      <c r="O236" s="17">
        <v>45809</v>
      </c>
      <c r="P236" s="31"/>
      <c r="Q236" s="19" t="s">
        <v>50</v>
      </c>
      <c r="R236" s="65"/>
      <c r="S236" s="66"/>
      <c r="T236" s="296"/>
      <c r="U236" s="296"/>
      <c r="V236" s="296"/>
      <c r="W236" s="296"/>
      <c r="X236" s="67"/>
      <c r="Y236" s="68"/>
      <c r="Z236" s="68"/>
      <c r="AA236" s="68"/>
      <c r="AB236" s="68"/>
      <c r="AC236" s="68"/>
      <c r="AD236" s="68"/>
      <c r="AE236" s="69"/>
      <c r="AF236" s="68"/>
      <c r="AG236" s="68"/>
      <c r="AH236" s="68"/>
      <c r="AI236" s="68"/>
      <c r="AJ236" s="68"/>
      <c r="AK236" s="68"/>
      <c r="AL236" s="68"/>
      <c r="AM236" s="68"/>
      <c r="AN236" s="68"/>
      <c r="AO236" s="70"/>
    </row>
    <row r="237" s="1" customFormat="1" ht="21" customHeight="1" spans="1:43">
      <c r="A237" s="27"/>
      <c r="B237" s="12"/>
      <c r="C237" s="12"/>
      <c r="D237" s="64" t="s">
        <v>225</v>
      </c>
      <c r="E237" s="14"/>
      <c r="F237" s="12"/>
      <c r="G237" s="29"/>
      <c r="H237" s="29"/>
      <c r="I237" s="29"/>
      <c r="J237" s="29"/>
      <c r="K237" s="29"/>
      <c r="L237" s="12"/>
      <c r="M237" s="12"/>
      <c r="N237" s="30"/>
      <c r="O237" s="17"/>
      <c r="P237" s="31"/>
      <c r="Q237" s="19"/>
      <c r="R237" s="20"/>
      <c r="S237" s="21"/>
      <c r="T237" s="30"/>
      <c r="U237" s="30"/>
      <c r="V237" s="30"/>
      <c r="W237" s="30"/>
      <c r="X237" s="51">
        <v>230000</v>
      </c>
      <c r="Y237" s="24">
        <v>230000</v>
      </c>
      <c r="Z237" s="24">
        <v>225000</v>
      </c>
      <c r="AA237" s="24">
        <v>225000</v>
      </c>
      <c r="AB237" s="24">
        <v>225000</v>
      </c>
      <c r="AC237" s="24">
        <v>225000</v>
      </c>
      <c r="AD237" s="24">
        <v>160000</v>
      </c>
      <c r="AE237" s="25"/>
      <c r="AF237" s="255">
        <v>45960</v>
      </c>
      <c r="AG237" s="24"/>
      <c r="AH237" s="24">
        <v>160000</v>
      </c>
      <c r="AI237" s="24"/>
      <c r="AJ237" s="24"/>
      <c r="AK237" s="24"/>
      <c r="AL237" s="24"/>
      <c r="AM237" s="24"/>
      <c r="AN237" s="24"/>
      <c r="AO237" s="26"/>
      <c r="AQ237" s="1" t="s">
        <v>226</v>
      </c>
    </row>
    <row r="238" s="1" customFormat="1" ht="21" customHeight="1" spans="1:43">
      <c r="A238" s="27"/>
      <c r="B238" s="12"/>
      <c r="C238" s="12"/>
      <c r="D238" s="64"/>
      <c r="E238" s="14"/>
      <c r="F238" s="12"/>
      <c r="G238" s="29"/>
      <c r="H238" s="29"/>
      <c r="I238" s="29"/>
      <c r="J238" s="29"/>
      <c r="K238" s="29"/>
      <c r="L238" s="12"/>
      <c r="M238" s="12"/>
      <c r="N238" s="30"/>
      <c r="O238" s="17"/>
      <c r="P238" s="31"/>
      <c r="Q238" s="19"/>
      <c r="R238" s="20"/>
      <c r="S238" s="21"/>
      <c r="T238" s="30"/>
      <c r="U238" s="30"/>
      <c r="V238" s="30"/>
      <c r="W238" s="30"/>
      <c r="X238" s="51"/>
      <c r="Y238" s="24"/>
      <c r="Z238" s="24"/>
      <c r="AA238" s="24"/>
      <c r="AB238" s="24"/>
      <c r="AC238" s="24"/>
      <c r="AD238" s="24"/>
      <c r="AE238" s="25"/>
      <c r="AF238" s="24"/>
      <c r="AG238" s="24"/>
      <c r="AH238" s="24"/>
      <c r="AI238" s="24"/>
      <c r="AJ238" s="24"/>
      <c r="AK238" s="24"/>
      <c r="AL238" s="24"/>
      <c r="AM238" s="24"/>
      <c r="AN238" s="24"/>
      <c r="AO238" s="26"/>
    </row>
    <row r="239" s="1" customFormat="1" ht="21" customHeight="1" spans="1:43">
      <c r="A239" s="27"/>
      <c r="B239" s="12"/>
      <c r="C239" s="12"/>
      <c r="D239" s="64" t="s">
        <v>227</v>
      </c>
      <c r="E239" s="14"/>
      <c r="F239" s="12"/>
      <c r="G239" s="29"/>
      <c r="H239" s="29"/>
      <c r="I239" s="29"/>
      <c r="J239" s="29"/>
      <c r="K239" s="29"/>
      <c r="L239" s="12"/>
      <c r="M239" s="12"/>
      <c r="N239" s="30"/>
      <c r="O239" s="17"/>
      <c r="P239" s="31"/>
      <c r="Q239" s="19"/>
      <c r="R239" s="20"/>
      <c r="S239" s="21"/>
      <c r="T239" s="30"/>
      <c r="U239" s="30"/>
      <c r="V239" s="30"/>
      <c r="W239" s="30"/>
      <c r="X239" s="51">
        <v>210000</v>
      </c>
      <c r="Y239" s="24">
        <v>210000</v>
      </c>
      <c r="Z239" s="24">
        <v>205000</v>
      </c>
      <c r="AA239" s="24">
        <v>205000</v>
      </c>
      <c r="AB239" s="24">
        <v>205000</v>
      </c>
      <c r="AC239" s="24">
        <v>130000</v>
      </c>
      <c r="AD239" s="24">
        <v>100000</v>
      </c>
      <c r="AE239" s="25"/>
      <c r="AF239" s="255">
        <v>45960</v>
      </c>
      <c r="AG239" s="24"/>
      <c r="AH239" s="24">
        <v>40000</v>
      </c>
      <c r="AI239" s="24">
        <v>60000</v>
      </c>
      <c r="AJ239" s="24"/>
      <c r="AK239" s="24"/>
      <c r="AL239" s="24"/>
      <c r="AM239" s="24"/>
      <c r="AN239" s="24"/>
      <c r="AO239" s="26"/>
      <c r="AQ239" s="1" t="s">
        <v>228</v>
      </c>
    </row>
    <row r="240" s="1" customFormat="1" ht="21" customHeight="1" spans="1:43">
      <c r="A240" s="27"/>
      <c r="B240" s="12"/>
      <c r="C240" s="12"/>
      <c r="D240" s="64"/>
      <c r="E240" s="14"/>
      <c r="F240" s="12"/>
      <c r="G240" s="29"/>
      <c r="H240" s="29"/>
      <c r="I240" s="29"/>
      <c r="J240" s="29"/>
      <c r="K240" s="29"/>
      <c r="L240" s="12"/>
      <c r="M240" s="12"/>
      <c r="N240" s="30"/>
      <c r="O240" s="17"/>
      <c r="P240" s="31"/>
      <c r="Q240" s="19"/>
      <c r="R240" s="20"/>
      <c r="S240" s="21"/>
      <c r="T240" s="30"/>
      <c r="U240" s="30"/>
      <c r="V240" s="30"/>
      <c r="W240" s="30"/>
      <c r="X240" s="51"/>
      <c r="Y240" s="24"/>
      <c r="Z240" s="24"/>
      <c r="AA240" s="24"/>
      <c r="AB240" s="24"/>
      <c r="AC240" s="24"/>
      <c r="AD240" s="24"/>
      <c r="AE240" s="25"/>
      <c r="AF240" s="24"/>
      <c r="AG240" s="24"/>
      <c r="AH240" s="24"/>
      <c r="AI240" s="24"/>
      <c r="AJ240" s="24"/>
      <c r="AK240" s="24"/>
      <c r="AL240" s="24"/>
      <c r="AM240" s="24"/>
      <c r="AN240" s="24"/>
      <c r="AO240" s="26"/>
    </row>
    <row r="241" s="1" customFormat="1" ht="21" customHeight="1" spans="1:41">
      <c r="A241" s="34"/>
      <c r="B241" s="12"/>
      <c r="C241" s="12"/>
      <c r="D241" s="71"/>
      <c r="E241" s="14"/>
      <c r="F241" s="12"/>
      <c r="G241" s="36"/>
      <c r="H241" s="36"/>
      <c r="I241" s="36"/>
      <c r="J241" s="36"/>
      <c r="K241" s="36"/>
      <c r="L241" s="12"/>
      <c r="M241" s="12"/>
      <c r="N241" s="30"/>
      <c r="O241" s="17"/>
      <c r="P241" s="31"/>
      <c r="Q241" s="19"/>
      <c r="R241" s="20"/>
      <c r="S241" s="21"/>
      <c r="T241" s="30"/>
      <c r="U241" s="30"/>
      <c r="V241" s="30"/>
      <c r="W241" s="30"/>
      <c r="X241" s="51"/>
      <c r="Y241" s="24"/>
      <c r="Z241" s="24"/>
      <c r="AA241" s="24"/>
      <c r="AB241" s="24"/>
      <c r="AC241" s="24"/>
      <c r="AD241" s="24"/>
      <c r="AE241" s="25"/>
      <c r="AF241" s="24"/>
      <c r="AG241" s="24"/>
      <c r="AH241" s="24"/>
      <c r="AI241" s="24"/>
      <c r="AJ241" s="24"/>
      <c r="AK241" s="24"/>
      <c r="AL241" s="24"/>
      <c r="AM241" s="24"/>
      <c r="AN241" s="24"/>
      <c r="AO241" s="26"/>
    </row>
    <row r="243" customHeight="1" spans="1:41">
      <c r="AF243" s="72" t="s">
        <v>229</v>
      </c>
      <c r="AG243" s="72" t="s">
        <v>230</v>
      </c>
      <c r="AH243" s="72" t="s">
        <v>231</v>
      </c>
      <c r="AI243" s="72" t="s">
        <v>232</v>
      </c>
    </row>
    <row r="244" customHeight="1" spans="1:41">
      <c r="D244" s="73" t="s">
        <v>233</v>
      </c>
      <c r="H244" s="74" t="s">
        <v>234</v>
      </c>
      <c r="I244" s="74"/>
      <c r="J244" s="74"/>
      <c r="K244" s="74"/>
      <c r="X244" s="75" t="s">
        <v>235</v>
      </c>
      <c r="Y244" s="75"/>
      <c r="Z244" s="75"/>
      <c r="AA244" s="76"/>
      <c r="AB244" s="77" t="s">
        <v>233</v>
      </c>
      <c r="AC244" s="77"/>
      <c r="AD244" s="77"/>
      <c r="AE244" s="78"/>
      <c r="AF244" s="79">
        <v>2300</v>
      </c>
      <c r="AG244" s="79">
        <v>615</v>
      </c>
      <c r="AH244" s="79">
        <v>938</v>
      </c>
      <c r="AI244" s="80">
        <v>1347</v>
      </c>
    </row>
    <row r="245" customHeight="1" spans="1:41">
      <c r="D245" s="73" t="s">
        <v>236</v>
      </c>
      <c r="H245" s="74" t="s">
        <v>237</v>
      </c>
      <c r="I245" s="74"/>
      <c r="J245" s="74"/>
      <c r="K245" s="74"/>
      <c r="X245" s="75" t="s">
        <v>238</v>
      </c>
      <c r="Y245" s="75"/>
      <c r="Z245" s="75"/>
      <c r="AA245" s="76"/>
      <c r="AB245" s="81" t="s">
        <v>236</v>
      </c>
      <c r="AC245" s="81"/>
      <c r="AD245" s="81"/>
      <c r="AE245" s="82"/>
      <c r="AF245" s="83"/>
      <c r="AG245" s="83">
        <v>21</v>
      </c>
      <c r="AH245" s="83"/>
      <c r="AI245" s="84"/>
    </row>
    <row r="246" customHeight="1" spans="1:41">
      <c r="D246" s="73" t="s">
        <v>239</v>
      </c>
      <c r="H246" s="74" t="s">
        <v>234</v>
      </c>
      <c r="I246" s="74"/>
      <c r="J246" s="74"/>
      <c r="K246" s="74"/>
      <c r="X246" s="75" t="s">
        <v>240</v>
      </c>
      <c r="Y246" s="75"/>
      <c r="Z246" s="75"/>
      <c r="AA246" s="76"/>
      <c r="AB246" s="81" t="s">
        <v>239</v>
      </c>
      <c r="AC246" s="81"/>
      <c r="AD246" s="81"/>
      <c r="AE246" s="82" t="s">
        <v>241</v>
      </c>
      <c r="AF246" s="83">
        <v>47</v>
      </c>
      <c r="AG246" s="83">
        <v>44</v>
      </c>
      <c r="AH246" s="83"/>
      <c r="AI246" s="84"/>
    </row>
    <row r="247" customHeight="1" spans="1:41">
      <c r="D247" s="73" t="s">
        <v>242</v>
      </c>
      <c r="H247" s="85">
        <v>2130599</v>
      </c>
      <c r="I247" s="85"/>
      <c r="J247" s="85"/>
      <c r="K247" s="85"/>
      <c r="X247" s="86" t="s">
        <v>243</v>
      </c>
      <c r="Y247" s="86"/>
      <c r="Z247" s="86"/>
      <c r="AA247" s="87"/>
      <c r="AB247" s="81" t="s">
        <v>242</v>
      </c>
      <c r="AC247" s="81"/>
      <c r="AD247" s="81"/>
      <c r="AE247" s="82"/>
      <c r="AF247" s="83"/>
      <c r="AG247" s="83"/>
      <c r="AH247" s="83">
        <v>40</v>
      </c>
      <c r="AI247" s="84">
        <v>30</v>
      </c>
    </row>
    <row r="248" customHeight="1" spans="1:41">
      <c r="D248" s="73" t="s">
        <v>244</v>
      </c>
      <c r="H248" s="88" t="s">
        <v>245</v>
      </c>
      <c r="I248" s="74"/>
      <c r="J248" s="74"/>
      <c r="K248" s="74"/>
      <c r="L248" s="89"/>
      <c r="M248" s="89"/>
      <c r="N248" s="90"/>
      <c r="O248" s="90"/>
      <c r="P248" s="91"/>
      <c r="Q248" s="90"/>
      <c r="R248" s="91"/>
      <c r="S248" s="90"/>
      <c r="T248" s="90"/>
      <c r="U248" s="90"/>
      <c r="V248" s="90"/>
      <c r="W248" s="90"/>
      <c r="X248" s="75" t="s">
        <v>246</v>
      </c>
      <c r="Y248" s="75"/>
      <c r="Z248" s="75"/>
      <c r="AA248" s="76"/>
      <c r="AB248" s="81" t="s">
        <v>244</v>
      </c>
      <c r="AC248" s="81"/>
      <c r="AD248" s="81"/>
      <c r="AE248" s="82"/>
      <c r="AF248" s="83"/>
      <c r="AG248" s="83"/>
      <c r="AH248" s="83"/>
      <c r="AI248" s="84">
        <v>120</v>
      </c>
    </row>
    <row r="249" customHeight="1" spans="1:41">
      <c r="D249" s="92" t="s">
        <v>247</v>
      </c>
      <c r="H249" s="88" t="s">
        <v>248</v>
      </c>
      <c r="I249" s="74"/>
      <c r="J249" s="74"/>
      <c r="K249" s="74"/>
      <c r="L249" s="89"/>
      <c r="M249" s="89"/>
      <c r="N249" s="90"/>
      <c r="O249" s="90"/>
      <c r="P249" s="91"/>
      <c r="Q249" s="90"/>
      <c r="R249" s="91"/>
      <c r="S249" s="90"/>
      <c r="T249" s="90"/>
      <c r="U249" s="90"/>
      <c r="V249" s="90"/>
      <c r="W249" s="90"/>
      <c r="X249" s="75" t="s">
        <v>249</v>
      </c>
      <c r="Y249" s="75"/>
      <c r="Z249" s="75"/>
      <c r="AA249" s="76"/>
      <c r="AB249" s="93" t="s">
        <v>247</v>
      </c>
      <c r="AC249" s="93"/>
      <c r="AD249" s="93"/>
      <c r="AE249" s="94"/>
      <c r="AF249" s="83"/>
      <c r="AG249" s="83"/>
      <c r="AH249" s="83"/>
      <c r="AI249" s="84">
        <v>180</v>
      </c>
    </row>
    <row r="250" customHeight="1" spans="1:41">
      <c r="D250" s="95" t="s">
        <v>250</v>
      </c>
      <c r="H250" s="96" t="s">
        <v>251</v>
      </c>
      <c r="I250" s="97"/>
      <c r="J250" s="97"/>
      <c r="K250" s="97"/>
      <c r="L250" s="89"/>
      <c r="M250" s="89"/>
      <c r="N250" s="90"/>
      <c r="O250" s="90"/>
      <c r="P250" s="91"/>
      <c r="Q250" s="90"/>
      <c r="R250" s="91"/>
      <c r="S250" s="90"/>
      <c r="T250" s="90"/>
      <c r="U250" s="90"/>
      <c r="V250" s="90"/>
      <c r="W250" s="90"/>
      <c r="X250" s="98" t="s">
        <v>252</v>
      </c>
      <c r="Y250" s="99"/>
      <c r="Z250" s="99"/>
      <c r="AA250" s="100"/>
      <c r="AB250" s="93" t="s">
        <v>250</v>
      </c>
      <c r="AC250" s="93"/>
      <c r="AD250" s="93"/>
      <c r="AE250" s="94"/>
      <c r="AF250" s="83"/>
      <c r="AG250" s="83"/>
      <c r="AH250" s="83"/>
      <c r="AI250" s="84">
        <v>100</v>
      </c>
    </row>
    <row r="251" customHeight="1" spans="1:41">
      <c r="D251" s="101" t="s">
        <v>253</v>
      </c>
      <c r="H251" s="102">
        <v>2130599</v>
      </c>
      <c r="I251" s="103"/>
      <c r="J251" s="103"/>
      <c r="K251" s="103"/>
      <c r="L251" s="104"/>
      <c r="M251" s="104"/>
      <c r="N251" s="105"/>
      <c r="O251" s="105"/>
      <c r="P251" s="106"/>
      <c r="Q251" s="105"/>
      <c r="R251" s="106"/>
      <c r="S251" s="105"/>
      <c r="T251" s="105"/>
      <c r="U251" s="105"/>
      <c r="V251" s="105"/>
      <c r="W251" s="105"/>
      <c r="X251" s="107" t="s">
        <v>249</v>
      </c>
      <c r="Y251" s="107"/>
      <c r="Z251" s="107"/>
      <c r="AA251" s="108"/>
      <c r="AB251" s="93" t="s">
        <v>253</v>
      </c>
      <c r="AC251" s="93"/>
      <c r="AD251" s="93"/>
      <c r="AE251" s="94"/>
      <c r="AF251" s="83"/>
      <c r="AG251" s="83"/>
      <c r="AH251" s="83"/>
      <c r="AI251" s="84">
        <v>10</v>
      </c>
    </row>
    <row r="252" customHeight="1" spans="1:41">
      <c r="AB252" s="23" t="s">
        <v>213</v>
      </c>
      <c r="AC252" s="23"/>
      <c r="AD252" s="23"/>
      <c r="AE252" s="109"/>
      <c r="AF252" s="110">
        <v>20</v>
      </c>
      <c r="AG252" s="110">
        <v>6</v>
      </c>
      <c r="AH252" s="110">
        <v>9</v>
      </c>
      <c r="AI252" s="111">
        <v>25</v>
      </c>
      <c r="AK252" s="112"/>
      <c r="AL252" s="113"/>
      <c r="AM252" s="113"/>
    </row>
    <row r="253" customHeight="1" spans="1:41">
      <c r="AB253" s="114" t="s">
        <v>30</v>
      </c>
      <c r="AC253" s="105"/>
      <c r="AD253" s="105"/>
      <c r="AE253" s="115"/>
      <c r="AF253" s="116">
        <f>SUM(AF244:AF252)</f>
        <v>2367</v>
      </c>
      <c r="AG253" s="116">
        <f>SUM(AG244:AG252)</f>
        <v>686</v>
      </c>
      <c r="AH253" s="116">
        <f>SUM(AH244:AH252)</f>
        <v>987</v>
      </c>
      <c r="AI253" s="116">
        <f>SUM(AI244:AI252)</f>
        <v>1812</v>
      </c>
      <c r="AJ253" s="117">
        <f>SUM(AF253:AI253)</f>
        <v>5852</v>
      </c>
    </row>
  </sheetData>
  <autoFilter xmlns:etc="http://www.wps.cn/officeDocument/2017/etCustomData" ref="A6:AQ253" etc:filterBottomFollowUsedRange="0">
    <extLst/>
  </autoFilter>
  <mergeCells count="946">
    <mergeCell ref="A2:AO2"/>
    <mergeCell ref="G3:K3"/>
    <mergeCell ref="T3:W3"/>
    <mergeCell ref="B5:F5"/>
    <mergeCell ref="L5:S5"/>
    <mergeCell ref="B6:F6"/>
    <mergeCell ref="L6:S6"/>
    <mergeCell ref="X223:AB223"/>
    <mergeCell ref="B224:F224"/>
    <mergeCell ref="L224:S224"/>
    <mergeCell ref="B226:F226"/>
    <mergeCell ref="L226:S226"/>
    <mergeCell ref="B233:F233"/>
    <mergeCell ref="L233:S233"/>
    <mergeCell ref="H244:K244"/>
    <mergeCell ref="X244:AA244"/>
    <mergeCell ref="AB244:AD244"/>
    <mergeCell ref="H245:K245"/>
    <mergeCell ref="X245:AA245"/>
    <mergeCell ref="AB245:AD245"/>
    <mergeCell ref="H246:K246"/>
    <mergeCell ref="X246:AA246"/>
    <mergeCell ref="AB246:AD246"/>
    <mergeCell ref="H247:K247"/>
    <mergeCell ref="X247:AA247"/>
    <mergeCell ref="AB247:AD247"/>
    <mergeCell ref="H248:K248"/>
    <mergeCell ref="X248:AA248"/>
    <mergeCell ref="AB248:AD248"/>
    <mergeCell ref="H249:K249"/>
    <mergeCell ref="X249:AA249"/>
    <mergeCell ref="AB249:AD249"/>
    <mergeCell ref="H250:K250"/>
    <mergeCell ref="X250:AA250"/>
    <mergeCell ref="AB250:AD250"/>
    <mergeCell ref="H251:K251"/>
    <mergeCell ref="X251:AA251"/>
    <mergeCell ref="AB251:AD251"/>
    <mergeCell ref="AB252:AD252"/>
    <mergeCell ref="AB253:AD253"/>
    <mergeCell ref="A3:A4"/>
    <mergeCell ref="A7:A10"/>
    <mergeCell ref="A11:A14"/>
    <mergeCell ref="A15:A18"/>
    <mergeCell ref="A19:A22"/>
    <mergeCell ref="A23:A26"/>
    <mergeCell ref="A27:A30"/>
    <mergeCell ref="A31:A34"/>
    <mergeCell ref="A35:A38"/>
    <mergeCell ref="A39:A42"/>
    <mergeCell ref="A43:A46"/>
    <mergeCell ref="A47:A50"/>
    <mergeCell ref="A51:A54"/>
    <mergeCell ref="A55:A58"/>
    <mergeCell ref="A59:A62"/>
    <mergeCell ref="A63:A66"/>
    <mergeCell ref="A67:A70"/>
    <mergeCell ref="A71:A74"/>
    <mergeCell ref="A75:A78"/>
    <mergeCell ref="A79:A82"/>
    <mergeCell ref="A83:A86"/>
    <mergeCell ref="A87:A90"/>
    <mergeCell ref="A91:A94"/>
    <mergeCell ref="A95:A98"/>
    <mergeCell ref="A99:A102"/>
    <mergeCell ref="A103:A106"/>
    <mergeCell ref="A107:A110"/>
    <mergeCell ref="A111:A114"/>
    <mergeCell ref="A115:A118"/>
    <mergeCell ref="A119:A122"/>
    <mergeCell ref="A123:A126"/>
    <mergeCell ref="A127:A130"/>
    <mergeCell ref="A131:A134"/>
    <mergeCell ref="A135:A138"/>
    <mergeCell ref="A139:A142"/>
    <mergeCell ref="A143:A146"/>
    <mergeCell ref="A147:A150"/>
    <mergeCell ref="A151:A154"/>
    <mergeCell ref="A155:A158"/>
    <mergeCell ref="A159:A162"/>
    <mergeCell ref="A163:A166"/>
    <mergeCell ref="A167:A170"/>
    <mergeCell ref="A171:A174"/>
    <mergeCell ref="A175:A178"/>
    <mergeCell ref="A179:A182"/>
    <mergeCell ref="A183:A186"/>
    <mergeCell ref="A187:A190"/>
    <mergeCell ref="A191:A194"/>
    <mergeCell ref="A195:A198"/>
    <mergeCell ref="A199:A202"/>
    <mergeCell ref="A203:A206"/>
    <mergeCell ref="A207:A210"/>
    <mergeCell ref="A211:A214"/>
    <mergeCell ref="A215:A218"/>
    <mergeCell ref="A219:A220"/>
    <mergeCell ref="A221:A222"/>
    <mergeCell ref="A227:A229"/>
    <mergeCell ref="A236:A241"/>
    <mergeCell ref="B3:B4"/>
    <mergeCell ref="C3:C4"/>
    <mergeCell ref="D3:D4"/>
    <mergeCell ref="D7:D10"/>
    <mergeCell ref="D11:D14"/>
    <mergeCell ref="D15:D18"/>
    <mergeCell ref="D19:D22"/>
    <mergeCell ref="D23:D26"/>
    <mergeCell ref="D27:D30"/>
    <mergeCell ref="D31:D34"/>
    <mergeCell ref="D35:D38"/>
    <mergeCell ref="D39:D42"/>
    <mergeCell ref="D43:D46"/>
    <mergeCell ref="D47:D50"/>
    <mergeCell ref="D51:D54"/>
    <mergeCell ref="D55:D58"/>
    <mergeCell ref="D59:D62"/>
    <mergeCell ref="D63:D66"/>
    <mergeCell ref="D67:D70"/>
    <mergeCell ref="D71:D74"/>
    <mergeCell ref="D75:D78"/>
    <mergeCell ref="D79:D82"/>
    <mergeCell ref="D83:D86"/>
    <mergeCell ref="D87:D90"/>
    <mergeCell ref="D91:D94"/>
    <mergeCell ref="D95:D98"/>
    <mergeCell ref="D99:D102"/>
    <mergeCell ref="D103:D106"/>
    <mergeCell ref="D107:D110"/>
    <mergeCell ref="D111:D114"/>
    <mergeCell ref="D115:D118"/>
    <mergeCell ref="D119:D122"/>
    <mergeCell ref="D123:D126"/>
    <mergeCell ref="D127:D130"/>
    <mergeCell ref="D131:D134"/>
    <mergeCell ref="D135:D138"/>
    <mergeCell ref="D139:D142"/>
    <mergeCell ref="D143:D146"/>
    <mergeCell ref="D147:D150"/>
    <mergeCell ref="D151:D154"/>
    <mergeCell ref="D155:D158"/>
    <mergeCell ref="D159:D162"/>
    <mergeCell ref="D163:D166"/>
    <mergeCell ref="D167:D170"/>
    <mergeCell ref="D171:D174"/>
    <mergeCell ref="D175:D178"/>
    <mergeCell ref="D179:D182"/>
    <mergeCell ref="D183:D186"/>
    <mergeCell ref="D187:D190"/>
    <mergeCell ref="D191:D194"/>
    <mergeCell ref="D195:D198"/>
    <mergeCell ref="D199:D202"/>
    <mergeCell ref="D203:D206"/>
    <mergeCell ref="D207:D210"/>
    <mergeCell ref="D211:D214"/>
    <mergeCell ref="D215:D218"/>
    <mergeCell ref="D221:D222"/>
    <mergeCell ref="D227:D229"/>
    <mergeCell ref="E3:E4"/>
    <mergeCell ref="F3:F4"/>
    <mergeCell ref="G7:G10"/>
    <mergeCell ref="G11:G14"/>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 ref="G75:G78"/>
    <mergeCell ref="G79:G82"/>
    <mergeCell ref="G83:G86"/>
    <mergeCell ref="G87:G90"/>
    <mergeCell ref="G91:G94"/>
    <mergeCell ref="G95:G98"/>
    <mergeCell ref="G99:G102"/>
    <mergeCell ref="G103:G106"/>
    <mergeCell ref="G107:G110"/>
    <mergeCell ref="G111:G114"/>
    <mergeCell ref="G115:G118"/>
    <mergeCell ref="G119:G122"/>
    <mergeCell ref="G123:G126"/>
    <mergeCell ref="G127:G130"/>
    <mergeCell ref="G131:G134"/>
    <mergeCell ref="G135:G138"/>
    <mergeCell ref="G139:G142"/>
    <mergeCell ref="G143:G146"/>
    <mergeCell ref="G147:G150"/>
    <mergeCell ref="G151:G154"/>
    <mergeCell ref="G155:G158"/>
    <mergeCell ref="G159:G162"/>
    <mergeCell ref="G163:G166"/>
    <mergeCell ref="G167:G170"/>
    <mergeCell ref="G171:G174"/>
    <mergeCell ref="G175:G178"/>
    <mergeCell ref="G179:G182"/>
    <mergeCell ref="G183:G186"/>
    <mergeCell ref="G187:G190"/>
    <mergeCell ref="G191:G194"/>
    <mergeCell ref="G195:G198"/>
    <mergeCell ref="G199:G202"/>
    <mergeCell ref="G203:G206"/>
    <mergeCell ref="G207:G210"/>
    <mergeCell ref="G211:G214"/>
    <mergeCell ref="G215:G218"/>
    <mergeCell ref="G219:G220"/>
    <mergeCell ref="G221:G222"/>
    <mergeCell ref="G227:G229"/>
    <mergeCell ref="G236:G241"/>
    <mergeCell ref="H7:H10"/>
    <mergeCell ref="H11:H14"/>
    <mergeCell ref="H15:H18"/>
    <mergeCell ref="H19:H22"/>
    <mergeCell ref="H23:H26"/>
    <mergeCell ref="H27:H30"/>
    <mergeCell ref="H31:H34"/>
    <mergeCell ref="H35:H38"/>
    <mergeCell ref="H39:H42"/>
    <mergeCell ref="H43:H46"/>
    <mergeCell ref="H47:H50"/>
    <mergeCell ref="H51:H54"/>
    <mergeCell ref="H55:H58"/>
    <mergeCell ref="H59:H62"/>
    <mergeCell ref="H63:H66"/>
    <mergeCell ref="H67:H70"/>
    <mergeCell ref="H71:H74"/>
    <mergeCell ref="H75:H78"/>
    <mergeCell ref="H79:H82"/>
    <mergeCell ref="H83:H86"/>
    <mergeCell ref="H87:H90"/>
    <mergeCell ref="H91:H94"/>
    <mergeCell ref="H95:H98"/>
    <mergeCell ref="H99:H102"/>
    <mergeCell ref="H103:H106"/>
    <mergeCell ref="H107:H110"/>
    <mergeCell ref="H111:H114"/>
    <mergeCell ref="H115:H118"/>
    <mergeCell ref="H119:H122"/>
    <mergeCell ref="H123:H126"/>
    <mergeCell ref="H127:H130"/>
    <mergeCell ref="H131:H134"/>
    <mergeCell ref="H135:H138"/>
    <mergeCell ref="H139:H142"/>
    <mergeCell ref="H143:H146"/>
    <mergeCell ref="H147:H150"/>
    <mergeCell ref="H151:H154"/>
    <mergeCell ref="H155:H158"/>
    <mergeCell ref="H159:H162"/>
    <mergeCell ref="H163:H166"/>
    <mergeCell ref="H167:H170"/>
    <mergeCell ref="H171:H174"/>
    <mergeCell ref="H175:H178"/>
    <mergeCell ref="H179:H182"/>
    <mergeCell ref="H183:H186"/>
    <mergeCell ref="H187:H190"/>
    <mergeCell ref="H191:H194"/>
    <mergeCell ref="H195:H198"/>
    <mergeCell ref="H199:H202"/>
    <mergeCell ref="H203:H206"/>
    <mergeCell ref="H207:H210"/>
    <mergeCell ref="H211:H214"/>
    <mergeCell ref="H215:H218"/>
    <mergeCell ref="H219:H220"/>
    <mergeCell ref="H221:H222"/>
    <mergeCell ref="H227:H229"/>
    <mergeCell ref="H236:H241"/>
    <mergeCell ref="I7:I10"/>
    <mergeCell ref="I11:I14"/>
    <mergeCell ref="I15:I18"/>
    <mergeCell ref="I19:I22"/>
    <mergeCell ref="I23:I26"/>
    <mergeCell ref="I27:I30"/>
    <mergeCell ref="I31:I34"/>
    <mergeCell ref="I35:I38"/>
    <mergeCell ref="I39:I42"/>
    <mergeCell ref="I43:I46"/>
    <mergeCell ref="I47:I50"/>
    <mergeCell ref="I51:I54"/>
    <mergeCell ref="I55:I58"/>
    <mergeCell ref="I59:I62"/>
    <mergeCell ref="I63:I66"/>
    <mergeCell ref="I67:I70"/>
    <mergeCell ref="I71:I74"/>
    <mergeCell ref="I75:I78"/>
    <mergeCell ref="I79:I82"/>
    <mergeCell ref="I83:I86"/>
    <mergeCell ref="I87:I90"/>
    <mergeCell ref="I91:I94"/>
    <mergeCell ref="I95:I98"/>
    <mergeCell ref="I99:I102"/>
    <mergeCell ref="I103:I106"/>
    <mergeCell ref="I107:I110"/>
    <mergeCell ref="I111:I114"/>
    <mergeCell ref="I115:I118"/>
    <mergeCell ref="I119:I122"/>
    <mergeCell ref="I123:I126"/>
    <mergeCell ref="I127:I130"/>
    <mergeCell ref="I131:I134"/>
    <mergeCell ref="I135:I138"/>
    <mergeCell ref="I139:I142"/>
    <mergeCell ref="I143:I146"/>
    <mergeCell ref="I147:I150"/>
    <mergeCell ref="I151:I154"/>
    <mergeCell ref="I155:I158"/>
    <mergeCell ref="I159:I162"/>
    <mergeCell ref="I163:I166"/>
    <mergeCell ref="I167:I170"/>
    <mergeCell ref="I171:I174"/>
    <mergeCell ref="I175:I178"/>
    <mergeCell ref="I179:I182"/>
    <mergeCell ref="I183:I186"/>
    <mergeCell ref="I187:I190"/>
    <mergeCell ref="I191:I194"/>
    <mergeCell ref="I195:I198"/>
    <mergeCell ref="I199:I202"/>
    <mergeCell ref="I203:I206"/>
    <mergeCell ref="I207:I210"/>
    <mergeCell ref="I211:I214"/>
    <mergeCell ref="I215:I218"/>
    <mergeCell ref="I219:I220"/>
    <mergeCell ref="I221:I222"/>
    <mergeCell ref="I227:I229"/>
    <mergeCell ref="I236:I241"/>
    <mergeCell ref="J7:J10"/>
    <mergeCell ref="J11:J14"/>
    <mergeCell ref="J15:J18"/>
    <mergeCell ref="J19:J22"/>
    <mergeCell ref="J23:J26"/>
    <mergeCell ref="J27:J30"/>
    <mergeCell ref="J31:J34"/>
    <mergeCell ref="J35:J38"/>
    <mergeCell ref="J39:J42"/>
    <mergeCell ref="J43:J46"/>
    <mergeCell ref="J47:J50"/>
    <mergeCell ref="J51:J54"/>
    <mergeCell ref="J55:J58"/>
    <mergeCell ref="J59:J62"/>
    <mergeCell ref="J63:J66"/>
    <mergeCell ref="J67:J70"/>
    <mergeCell ref="J71:J74"/>
    <mergeCell ref="J75:J78"/>
    <mergeCell ref="J79:J82"/>
    <mergeCell ref="J83:J86"/>
    <mergeCell ref="J87:J90"/>
    <mergeCell ref="J91:J94"/>
    <mergeCell ref="J95:J98"/>
    <mergeCell ref="J99:J102"/>
    <mergeCell ref="J103:J106"/>
    <mergeCell ref="J107:J110"/>
    <mergeCell ref="J111:J114"/>
    <mergeCell ref="J115:J118"/>
    <mergeCell ref="J119:J122"/>
    <mergeCell ref="J123:J126"/>
    <mergeCell ref="J127:J130"/>
    <mergeCell ref="J131:J134"/>
    <mergeCell ref="J135:J138"/>
    <mergeCell ref="J139:J142"/>
    <mergeCell ref="J143:J146"/>
    <mergeCell ref="J147:J150"/>
    <mergeCell ref="J151:J154"/>
    <mergeCell ref="J155:J158"/>
    <mergeCell ref="J159:J162"/>
    <mergeCell ref="J163:J166"/>
    <mergeCell ref="J167:J170"/>
    <mergeCell ref="J171:J174"/>
    <mergeCell ref="J175:J178"/>
    <mergeCell ref="J179:J182"/>
    <mergeCell ref="J183:J186"/>
    <mergeCell ref="J187:J190"/>
    <mergeCell ref="J191:J194"/>
    <mergeCell ref="J195:J198"/>
    <mergeCell ref="J199:J202"/>
    <mergeCell ref="J203:J206"/>
    <mergeCell ref="J207:J210"/>
    <mergeCell ref="J211:J214"/>
    <mergeCell ref="J215:J218"/>
    <mergeCell ref="J219:J220"/>
    <mergeCell ref="J221:J222"/>
    <mergeCell ref="J227:J229"/>
    <mergeCell ref="J236:J241"/>
    <mergeCell ref="K7:K10"/>
    <mergeCell ref="K11:K14"/>
    <mergeCell ref="K15:K18"/>
    <mergeCell ref="K19:K22"/>
    <mergeCell ref="K23:K26"/>
    <mergeCell ref="K27:K30"/>
    <mergeCell ref="K31:K34"/>
    <mergeCell ref="K35:K38"/>
    <mergeCell ref="K39:K42"/>
    <mergeCell ref="K43:K46"/>
    <mergeCell ref="K47:K50"/>
    <mergeCell ref="K51:K54"/>
    <mergeCell ref="K55:K58"/>
    <mergeCell ref="K59:K62"/>
    <mergeCell ref="K63:K66"/>
    <mergeCell ref="K67:K70"/>
    <mergeCell ref="K71:K74"/>
    <mergeCell ref="K75:K78"/>
    <mergeCell ref="K79:K82"/>
    <mergeCell ref="K83:K86"/>
    <mergeCell ref="K87:K90"/>
    <mergeCell ref="K91:K94"/>
    <mergeCell ref="K95:K98"/>
    <mergeCell ref="K99:K102"/>
    <mergeCell ref="K103:K106"/>
    <mergeCell ref="K107:K110"/>
    <mergeCell ref="K111:K114"/>
    <mergeCell ref="K115:K118"/>
    <mergeCell ref="K119:K122"/>
    <mergeCell ref="K123:K126"/>
    <mergeCell ref="K127:K130"/>
    <mergeCell ref="K131:K134"/>
    <mergeCell ref="K135:K138"/>
    <mergeCell ref="K139:K142"/>
    <mergeCell ref="K143:K146"/>
    <mergeCell ref="K147:K150"/>
    <mergeCell ref="K151:K154"/>
    <mergeCell ref="K155:K158"/>
    <mergeCell ref="K159:K162"/>
    <mergeCell ref="K163:K166"/>
    <mergeCell ref="K167:K170"/>
    <mergeCell ref="K171:K174"/>
    <mergeCell ref="K175:K178"/>
    <mergeCell ref="K179:K182"/>
    <mergeCell ref="K183:K186"/>
    <mergeCell ref="K187:K190"/>
    <mergeCell ref="K191:K194"/>
    <mergeCell ref="K195:K198"/>
    <mergeCell ref="K199:K202"/>
    <mergeCell ref="K203:K206"/>
    <mergeCell ref="K207:K210"/>
    <mergeCell ref="K211:K214"/>
    <mergeCell ref="K215:K218"/>
    <mergeCell ref="K219:K220"/>
    <mergeCell ref="K221:K222"/>
    <mergeCell ref="K227:K229"/>
    <mergeCell ref="K236:K241"/>
    <mergeCell ref="L3:L4"/>
    <mergeCell ref="M3:M4"/>
    <mergeCell ref="N3:N4"/>
    <mergeCell ref="O3:O4"/>
    <mergeCell ref="P3:P4"/>
    <mergeCell ref="Q3:Q4"/>
    <mergeCell ref="R3:R4"/>
    <mergeCell ref="S3:S4"/>
    <mergeCell ref="T7:T10"/>
    <mergeCell ref="T11:T14"/>
    <mergeCell ref="T15:T18"/>
    <mergeCell ref="T19:T22"/>
    <mergeCell ref="T23:T26"/>
    <mergeCell ref="T27:T30"/>
    <mergeCell ref="T31:T34"/>
    <mergeCell ref="T35:T38"/>
    <mergeCell ref="T39:T42"/>
    <mergeCell ref="T43:T46"/>
    <mergeCell ref="T47:T50"/>
    <mergeCell ref="T51:T54"/>
    <mergeCell ref="T55:T58"/>
    <mergeCell ref="T59:T62"/>
    <mergeCell ref="T63:T66"/>
    <mergeCell ref="T67:T70"/>
    <mergeCell ref="T71:T74"/>
    <mergeCell ref="T75:T78"/>
    <mergeCell ref="T79:T82"/>
    <mergeCell ref="T83:T86"/>
    <mergeCell ref="T87:T90"/>
    <mergeCell ref="T91:T94"/>
    <mergeCell ref="T95:T98"/>
    <mergeCell ref="T99:T102"/>
    <mergeCell ref="T103:T106"/>
    <mergeCell ref="T107:T110"/>
    <mergeCell ref="T111:T114"/>
    <mergeCell ref="T115:T118"/>
    <mergeCell ref="T119:T122"/>
    <mergeCell ref="T123:T126"/>
    <mergeCell ref="T127:T130"/>
    <mergeCell ref="T131:T134"/>
    <mergeCell ref="T135:T138"/>
    <mergeCell ref="T139:T142"/>
    <mergeCell ref="T143:T146"/>
    <mergeCell ref="T147:T150"/>
    <mergeCell ref="T151:T154"/>
    <mergeCell ref="T155:T158"/>
    <mergeCell ref="T159:T162"/>
    <mergeCell ref="T163:T166"/>
    <mergeCell ref="T167:T170"/>
    <mergeCell ref="T171:T174"/>
    <mergeCell ref="T175:T178"/>
    <mergeCell ref="T179:T182"/>
    <mergeCell ref="T183:T186"/>
    <mergeCell ref="T187:T190"/>
    <mergeCell ref="T191:T194"/>
    <mergeCell ref="T195:T198"/>
    <mergeCell ref="T199:T202"/>
    <mergeCell ref="T203:T206"/>
    <mergeCell ref="T207:T210"/>
    <mergeCell ref="T211:T214"/>
    <mergeCell ref="T215:T218"/>
    <mergeCell ref="U7:U10"/>
    <mergeCell ref="U11:U14"/>
    <mergeCell ref="U15:U18"/>
    <mergeCell ref="U19:U22"/>
    <mergeCell ref="U23:U26"/>
    <mergeCell ref="U27:U30"/>
    <mergeCell ref="U31:U34"/>
    <mergeCell ref="U35:U38"/>
    <mergeCell ref="U39:U42"/>
    <mergeCell ref="U43:U46"/>
    <mergeCell ref="U47:U50"/>
    <mergeCell ref="U51:U54"/>
    <mergeCell ref="U55:U58"/>
    <mergeCell ref="U59:U62"/>
    <mergeCell ref="U63:U66"/>
    <mergeCell ref="U67:U70"/>
    <mergeCell ref="U71:U74"/>
    <mergeCell ref="U75:U78"/>
    <mergeCell ref="U79:U82"/>
    <mergeCell ref="U83:U86"/>
    <mergeCell ref="U87:U90"/>
    <mergeCell ref="U91:U94"/>
    <mergeCell ref="U95:U98"/>
    <mergeCell ref="U99:U102"/>
    <mergeCell ref="U103:U106"/>
    <mergeCell ref="U107:U110"/>
    <mergeCell ref="U111:U114"/>
    <mergeCell ref="U115:U118"/>
    <mergeCell ref="U119:U122"/>
    <mergeCell ref="U123:U126"/>
    <mergeCell ref="U127:U130"/>
    <mergeCell ref="U131:U134"/>
    <mergeCell ref="U135:U138"/>
    <mergeCell ref="U139:U142"/>
    <mergeCell ref="U143:U146"/>
    <mergeCell ref="U147:U150"/>
    <mergeCell ref="U151:U154"/>
    <mergeCell ref="U155:U158"/>
    <mergeCell ref="U159:U162"/>
    <mergeCell ref="U163:U166"/>
    <mergeCell ref="U167:U170"/>
    <mergeCell ref="U171:U174"/>
    <mergeCell ref="U175:U178"/>
    <mergeCell ref="U179:U182"/>
    <mergeCell ref="U183:U186"/>
    <mergeCell ref="U187:U190"/>
    <mergeCell ref="U191:U194"/>
    <mergeCell ref="U195:U198"/>
    <mergeCell ref="U199:U202"/>
    <mergeCell ref="U203:U206"/>
    <mergeCell ref="U207:U210"/>
    <mergeCell ref="U211:U214"/>
    <mergeCell ref="U215:U218"/>
    <mergeCell ref="V7:V10"/>
    <mergeCell ref="V11:V14"/>
    <mergeCell ref="V15:V18"/>
    <mergeCell ref="V19:V22"/>
    <mergeCell ref="V23:V26"/>
    <mergeCell ref="V27:V30"/>
    <mergeCell ref="V31:V34"/>
    <mergeCell ref="V35:V38"/>
    <mergeCell ref="V39:V42"/>
    <mergeCell ref="V43:V46"/>
    <mergeCell ref="V47:V50"/>
    <mergeCell ref="V51:V54"/>
    <mergeCell ref="V55:V58"/>
    <mergeCell ref="V59:V62"/>
    <mergeCell ref="V63:V66"/>
    <mergeCell ref="V67:V70"/>
    <mergeCell ref="V71:V74"/>
    <mergeCell ref="V75:V78"/>
    <mergeCell ref="V79:V82"/>
    <mergeCell ref="V83:V86"/>
    <mergeCell ref="V87:V90"/>
    <mergeCell ref="V91:V94"/>
    <mergeCell ref="V95:V98"/>
    <mergeCell ref="V99:V102"/>
    <mergeCell ref="V103:V106"/>
    <mergeCell ref="V107:V110"/>
    <mergeCell ref="V111:V114"/>
    <mergeCell ref="V115:V118"/>
    <mergeCell ref="V119:V122"/>
    <mergeCell ref="V123:V126"/>
    <mergeCell ref="V127:V130"/>
    <mergeCell ref="V131:V134"/>
    <mergeCell ref="V135:V138"/>
    <mergeCell ref="V139:V142"/>
    <mergeCell ref="V143:V146"/>
    <mergeCell ref="V147:V150"/>
    <mergeCell ref="V151:V154"/>
    <mergeCell ref="V155:V158"/>
    <mergeCell ref="V159:V162"/>
    <mergeCell ref="V163:V166"/>
    <mergeCell ref="V167:V170"/>
    <mergeCell ref="V171:V174"/>
    <mergeCell ref="V175:V178"/>
    <mergeCell ref="V179:V182"/>
    <mergeCell ref="V183:V186"/>
    <mergeCell ref="V187:V190"/>
    <mergeCell ref="V191:V194"/>
    <mergeCell ref="V195:V198"/>
    <mergeCell ref="V199:V202"/>
    <mergeCell ref="V203:V206"/>
    <mergeCell ref="V207:V210"/>
    <mergeCell ref="V211:V214"/>
    <mergeCell ref="V215:V218"/>
    <mergeCell ref="W7:W10"/>
    <mergeCell ref="W11:W14"/>
    <mergeCell ref="W15:W18"/>
    <mergeCell ref="W19:W22"/>
    <mergeCell ref="W23:W26"/>
    <mergeCell ref="W27:W30"/>
    <mergeCell ref="W31:W34"/>
    <mergeCell ref="W35:W38"/>
    <mergeCell ref="W39:W42"/>
    <mergeCell ref="W43:W46"/>
    <mergeCell ref="W47:W50"/>
    <mergeCell ref="W51:W54"/>
    <mergeCell ref="W55:W58"/>
    <mergeCell ref="W59:W62"/>
    <mergeCell ref="W63:W66"/>
    <mergeCell ref="W67:W70"/>
    <mergeCell ref="W71:W74"/>
    <mergeCell ref="W75:W78"/>
    <mergeCell ref="W79:W82"/>
    <mergeCell ref="W83:W86"/>
    <mergeCell ref="W87:W90"/>
    <mergeCell ref="W91:W94"/>
    <mergeCell ref="W95:W98"/>
    <mergeCell ref="W99:W102"/>
    <mergeCell ref="W103:W106"/>
    <mergeCell ref="W107:W110"/>
    <mergeCell ref="W111:W114"/>
    <mergeCell ref="W115:W118"/>
    <mergeCell ref="W119:W122"/>
    <mergeCell ref="W123:W126"/>
    <mergeCell ref="W127:W130"/>
    <mergeCell ref="W131:W134"/>
    <mergeCell ref="W135:W138"/>
    <mergeCell ref="W139:W142"/>
    <mergeCell ref="W143:W146"/>
    <mergeCell ref="W147:W150"/>
    <mergeCell ref="W151:W154"/>
    <mergeCell ref="W155:W158"/>
    <mergeCell ref="W159:W162"/>
    <mergeCell ref="W163:W166"/>
    <mergeCell ref="W167:W170"/>
    <mergeCell ref="W171:W174"/>
    <mergeCell ref="W175:W178"/>
    <mergeCell ref="W179:W182"/>
    <mergeCell ref="W183:W186"/>
    <mergeCell ref="W187:W190"/>
    <mergeCell ref="W191:W194"/>
    <mergeCell ref="W195:W198"/>
    <mergeCell ref="W199:W202"/>
    <mergeCell ref="W203:W206"/>
    <mergeCell ref="W207:W210"/>
    <mergeCell ref="W211:W214"/>
    <mergeCell ref="W215:W218"/>
    <mergeCell ref="X3:X6"/>
    <mergeCell ref="X7:X10"/>
    <mergeCell ref="X11:X14"/>
    <mergeCell ref="X15:X18"/>
    <mergeCell ref="X19:X22"/>
    <mergeCell ref="X23:X26"/>
    <mergeCell ref="X27:X30"/>
    <mergeCell ref="X31:X34"/>
    <mergeCell ref="X35:X38"/>
    <mergeCell ref="X39:X42"/>
    <mergeCell ref="X43:X46"/>
    <mergeCell ref="X47:X50"/>
    <mergeCell ref="X51:X54"/>
    <mergeCell ref="X55:X58"/>
    <mergeCell ref="X59:X62"/>
    <mergeCell ref="X63:X66"/>
    <mergeCell ref="X67:X70"/>
    <mergeCell ref="X71:X74"/>
    <mergeCell ref="X75:X78"/>
    <mergeCell ref="X79:X82"/>
    <mergeCell ref="X83:X86"/>
    <mergeCell ref="X87:X90"/>
    <mergeCell ref="X91:X94"/>
    <mergeCell ref="X95:X98"/>
    <mergeCell ref="X99:X102"/>
    <mergeCell ref="X103:X106"/>
    <mergeCell ref="X107:X110"/>
    <mergeCell ref="X111:X114"/>
    <mergeCell ref="X115:X118"/>
    <mergeCell ref="X119:X122"/>
    <mergeCell ref="X123:X126"/>
    <mergeCell ref="X127:X130"/>
    <mergeCell ref="X131:X134"/>
    <mergeCell ref="X135:X138"/>
    <mergeCell ref="X139:X142"/>
    <mergeCell ref="X143:X146"/>
    <mergeCell ref="X147:X150"/>
    <mergeCell ref="X151:X154"/>
    <mergeCell ref="X155:X158"/>
    <mergeCell ref="X159:X162"/>
    <mergeCell ref="X163:X166"/>
    <mergeCell ref="X167:X170"/>
    <mergeCell ref="X171:X174"/>
    <mergeCell ref="X175:X178"/>
    <mergeCell ref="X179:X182"/>
    <mergeCell ref="X183:X186"/>
    <mergeCell ref="X187:X190"/>
    <mergeCell ref="X191:X194"/>
    <mergeCell ref="X195:X198"/>
    <mergeCell ref="X199:X202"/>
    <mergeCell ref="X203:X206"/>
    <mergeCell ref="X207:X210"/>
    <mergeCell ref="X211:X214"/>
    <mergeCell ref="X215:X218"/>
    <mergeCell ref="X221:X222"/>
    <mergeCell ref="Y3:Y6"/>
    <mergeCell ref="Y7:Y10"/>
    <mergeCell ref="Y11:Y14"/>
    <mergeCell ref="Y15:Y18"/>
    <mergeCell ref="Y19:Y22"/>
    <mergeCell ref="Y23:Y26"/>
    <mergeCell ref="Y27:Y30"/>
    <mergeCell ref="Y31:Y34"/>
    <mergeCell ref="Y35:Y38"/>
    <mergeCell ref="Y39:Y42"/>
    <mergeCell ref="Y43:Y46"/>
    <mergeCell ref="Y47:Y50"/>
    <mergeCell ref="Y51:Y54"/>
    <mergeCell ref="Y55:Y58"/>
    <mergeCell ref="Y59:Y62"/>
    <mergeCell ref="Y63:Y66"/>
    <mergeCell ref="Y67:Y70"/>
    <mergeCell ref="Y71:Y74"/>
    <mergeCell ref="Y75:Y78"/>
    <mergeCell ref="Y79:Y82"/>
    <mergeCell ref="Y83:Y86"/>
    <mergeCell ref="Y87:Y90"/>
    <mergeCell ref="Y91:Y94"/>
    <mergeCell ref="Y95:Y98"/>
    <mergeCell ref="Y99:Y102"/>
    <mergeCell ref="Y103:Y106"/>
    <mergeCell ref="Y107:Y110"/>
    <mergeCell ref="Y111:Y114"/>
    <mergeCell ref="Y115:Y118"/>
    <mergeCell ref="Y119:Y122"/>
    <mergeCell ref="Y123:Y126"/>
    <mergeCell ref="Y127:Y130"/>
    <mergeCell ref="Y131:Y134"/>
    <mergeCell ref="Y135:Y138"/>
    <mergeCell ref="Y139:Y142"/>
    <mergeCell ref="Y143:Y146"/>
    <mergeCell ref="Y147:Y150"/>
    <mergeCell ref="Y151:Y154"/>
    <mergeCell ref="Y155:Y158"/>
    <mergeCell ref="Y159:Y162"/>
    <mergeCell ref="Y163:Y166"/>
    <mergeCell ref="Y167:Y170"/>
    <mergeCell ref="Y171:Y174"/>
    <mergeCell ref="Y175:Y178"/>
    <mergeCell ref="Y179:Y182"/>
    <mergeCell ref="Y183:Y186"/>
    <mergeCell ref="Y187:Y190"/>
    <mergeCell ref="Y191:Y194"/>
    <mergeCell ref="Y195:Y198"/>
    <mergeCell ref="Y199:Y202"/>
    <mergeCell ref="Y203:Y206"/>
    <mergeCell ref="Y207:Y210"/>
    <mergeCell ref="Y211:Y214"/>
    <mergeCell ref="Y215:Y218"/>
    <mergeCell ref="Y221:Y222"/>
    <mergeCell ref="Z3:Z6"/>
    <mergeCell ref="Z7:Z10"/>
    <mergeCell ref="Z11:Z14"/>
    <mergeCell ref="Z15:Z18"/>
    <mergeCell ref="Z19:Z22"/>
    <mergeCell ref="Z23:Z26"/>
    <mergeCell ref="Z27:Z30"/>
    <mergeCell ref="Z31:Z34"/>
    <mergeCell ref="Z35:Z38"/>
    <mergeCell ref="Z39:Z42"/>
    <mergeCell ref="Z43:Z46"/>
    <mergeCell ref="Z47:Z50"/>
    <mergeCell ref="Z51:Z54"/>
    <mergeCell ref="Z55:Z58"/>
    <mergeCell ref="Z59:Z62"/>
    <mergeCell ref="Z63:Z66"/>
    <mergeCell ref="Z67:Z70"/>
    <mergeCell ref="Z71:Z74"/>
    <mergeCell ref="Z75:Z78"/>
    <mergeCell ref="Z79:Z82"/>
    <mergeCell ref="Z83:Z86"/>
    <mergeCell ref="Z87:Z90"/>
    <mergeCell ref="Z91:Z94"/>
    <mergeCell ref="Z95:Z98"/>
    <mergeCell ref="Z99:Z102"/>
    <mergeCell ref="Z103:Z106"/>
    <mergeCell ref="Z107:Z110"/>
    <mergeCell ref="Z111:Z114"/>
    <mergeCell ref="Z115:Z118"/>
    <mergeCell ref="Z119:Z122"/>
    <mergeCell ref="Z123:Z126"/>
    <mergeCell ref="Z127:Z130"/>
    <mergeCell ref="Z131:Z134"/>
    <mergeCell ref="Z135:Z138"/>
    <mergeCell ref="Z139:Z142"/>
    <mergeCell ref="Z143:Z146"/>
    <mergeCell ref="Z147:Z150"/>
    <mergeCell ref="Z151:Z154"/>
    <mergeCell ref="Z155:Z158"/>
    <mergeCell ref="Z159:Z162"/>
    <mergeCell ref="Z163:Z166"/>
    <mergeCell ref="Z167:Z170"/>
    <mergeCell ref="Z171:Z174"/>
    <mergeCell ref="Z175:Z178"/>
    <mergeCell ref="Z179:Z182"/>
    <mergeCell ref="Z183:Z186"/>
    <mergeCell ref="Z187:Z190"/>
    <mergeCell ref="Z191:Z194"/>
    <mergeCell ref="Z195:Z198"/>
    <mergeCell ref="Z199:Z202"/>
    <mergeCell ref="Z203:Z206"/>
    <mergeCell ref="Z207:Z210"/>
    <mergeCell ref="Z211:Z214"/>
    <mergeCell ref="Z215:Z218"/>
    <mergeCell ref="Z221:Z222"/>
    <mergeCell ref="AA3:AA6"/>
    <mergeCell ref="AA7:AA10"/>
    <mergeCell ref="AA11:AA14"/>
    <mergeCell ref="AA15:AA18"/>
    <mergeCell ref="AA19:AA22"/>
    <mergeCell ref="AA23:AA26"/>
    <mergeCell ref="AA27:AA30"/>
    <mergeCell ref="AA31:AA34"/>
    <mergeCell ref="AA35:AA38"/>
    <mergeCell ref="AA39:AA42"/>
    <mergeCell ref="AA43:AA46"/>
    <mergeCell ref="AA47:AA50"/>
    <mergeCell ref="AA51:AA54"/>
    <mergeCell ref="AA55:AA58"/>
    <mergeCell ref="AA59:AA62"/>
    <mergeCell ref="AA63:AA66"/>
    <mergeCell ref="AA67:AA70"/>
    <mergeCell ref="AA71:AA74"/>
    <mergeCell ref="AA75:AA78"/>
    <mergeCell ref="AA79:AA82"/>
    <mergeCell ref="AA83:AA86"/>
    <mergeCell ref="AA87:AA90"/>
    <mergeCell ref="AA91:AA94"/>
    <mergeCell ref="AA95:AA98"/>
    <mergeCell ref="AA99:AA102"/>
    <mergeCell ref="AA103:AA106"/>
    <mergeCell ref="AA107:AA110"/>
    <mergeCell ref="AA111:AA114"/>
    <mergeCell ref="AA115:AA118"/>
    <mergeCell ref="AA119:AA122"/>
    <mergeCell ref="AA123:AA126"/>
    <mergeCell ref="AA127:AA130"/>
    <mergeCell ref="AA131:AA134"/>
    <mergeCell ref="AA135:AA138"/>
    <mergeCell ref="AA139:AA142"/>
    <mergeCell ref="AA143:AA146"/>
    <mergeCell ref="AA147:AA150"/>
    <mergeCell ref="AA151:AA154"/>
    <mergeCell ref="AA155:AA158"/>
    <mergeCell ref="AA159:AA162"/>
    <mergeCell ref="AA163:AA166"/>
    <mergeCell ref="AA167:AA170"/>
    <mergeCell ref="AA171:AA174"/>
    <mergeCell ref="AA175:AA178"/>
    <mergeCell ref="AA179:AA182"/>
    <mergeCell ref="AA183:AA186"/>
    <mergeCell ref="AA187:AA190"/>
    <mergeCell ref="AA191:AA194"/>
    <mergeCell ref="AA195:AA198"/>
    <mergeCell ref="AA199:AA202"/>
    <mergeCell ref="AA203:AA206"/>
    <mergeCell ref="AA207:AA210"/>
    <mergeCell ref="AA211:AA214"/>
    <mergeCell ref="AA215:AA218"/>
    <mergeCell ref="AA221:AA222"/>
    <mergeCell ref="AB3:AB6"/>
    <mergeCell ref="AB7:AB10"/>
    <mergeCell ref="AB11:AB14"/>
    <mergeCell ref="AB15:AB18"/>
    <mergeCell ref="AB19:AB22"/>
    <mergeCell ref="AB23:AB26"/>
    <mergeCell ref="AB27:AB30"/>
    <mergeCell ref="AB31:AB34"/>
    <mergeCell ref="AB35:AB38"/>
    <mergeCell ref="AB39:AB42"/>
    <mergeCell ref="AB43:AB46"/>
    <mergeCell ref="AB47:AB50"/>
    <mergeCell ref="AB51:AB54"/>
    <mergeCell ref="AB55:AB58"/>
    <mergeCell ref="AB59:AB62"/>
    <mergeCell ref="AB63:AB66"/>
    <mergeCell ref="AB67:AB70"/>
    <mergeCell ref="AB71:AB74"/>
    <mergeCell ref="AB75:AB78"/>
    <mergeCell ref="AB79:AB82"/>
    <mergeCell ref="AB83:AB86"/>
    <mergeCell ref="AB87:AB90"/>
    <mergeCell ref="AB91:AB94"/>
    <mergeCell ref="AB95:AB98"/>
    <mergeCell ref="AB99:AB102"/>
    <mergeCell ref="AB103:AB106"/>
    <mergeCell ref="AB107:AB110"/>
    <mergeCell ref="AB111:AB114"/>
    <mergeCell ref="AB115:AB118"/>
    <mergeCell ref="AB119:AB122"/>
    <mergeCell ref="AB123:AB126"/>
    <mergeCell ref="AB127:AB130"/>
    <mergeCell ref="AB131:AB134"/>
    <mergeCell ref="AB135:AB138"/>
    <mergeCell ref="AB139:AB142"/>
    <mergeCell ref="AB143:AB146"/>
    <mergeCell ref="AB147:AB150"/>
    <mergeCell ref="AB151:AB154"/>
    <mergeCell ref="AB155:AB158"/>
    <mergeCell ref="AB159:AB162"/>
    <mergeCell ref="AB163:AB166"/>
    <mergeCell ref="AB167:AB170"/>
    <mergeCell ref="AB171:AB174"/>
    <mergeCell ref="AB175:AB178"/>
    <mergeCell ref="AB179:AB182"/>
    <mergeCell ref="AB183:AB186"/>
    <mergeCell ref="AB187:AB190"/>
    <mergeCell ref="AB191:AB194"/>
    <mergeCell ref="AB195:AB198"/>
    <mergeCell ref="AB199:AB202"/>
    <mergeCell ref="AB203:AB206"/>
    <mergeCell ref="AB207:AB210"/>
    <mergeCell ref="AB211:AB214"/>
    <mergeCell ref="AB215:AB218"/>
    <mergeCell ref="AB221:AB222"/>
    <mergeCell ref="AC3:AC6"/>
    <mergeCell ref="AD3:AD6"/>
    <mergeCell ref="AE3:AE6"/>
    <mergeCell ref="AF3:AF6"/>
    <mergeCell ref="AG3:AG6"/>
    <mergeCell ref="AH3:AK5"/>
    <mergeCell ref="AL3:AO5"/>
    <mergeCell ref="X227:AB229"/>
  </mergeCells>
  <pageMargins left="0.75" right="0.75" top="1" bottom="1" header="0.5" footer="0.5"/>
  <pageSetup paperSize="9" scale="61"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85" zoomScaleNormal="85" workbookViewId="0">
      <selection activeCell="K48" sqref="K48"/>
    </sheetView>
  </sheetViews>
  <sheetFormatPr defaultColWidth="9" defaultRowHeight="14.25"/>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7"/>
  <sheetViews>
    <sheetView zoomScale="85" zoomScaleNormal="85" topLeftCell="D1" workbookViewId="0">
      <selection activeCell="AJ17" sqref="AJ17"/>
    </sheetView>
  </sheetViews>
  <sheetFormatPr defaultColWidth="9" defaultRowHeight="47" customHeight="1"/>
  <cols>
    <col min="1" max="1" width="3.625" style="2" customWidth="1"/>
    <col min="2" max="2" width="13.125" style="3" customWidth="1"/>
    <col min="3" max="3" width="6.01666666666667" style="2" customWidth="1"/>
    <col min="4" max="4" width="29.25" style="2" customWidth="1"/>
    <col min="5" max="5" width="34.875" style="4" hidden="1" customWidth="1"/>
    <col min="6" max="6" width="10.3333333333333" style="4" customWidth="1"/>
    <col min="7" max="9" width="5.79166666666667" style="5" customWidth="1"/>
    <col min="10" max="10" width="6.875" style="5" customWidth="1"/>
    <col min="11" max="11" width="7.04166666666667" style="6" hidden="1" customWidth="1"/>
    <col min="12" max="12" width="8.625" style="6" hidden="1" customWidth="1"/>
    <col min="13" max="13" width="12.125" style="7" hidden="1" customWidth="1"/>
    <col min="14" max="14" width="19.625" style="7" hidden="1" customWidth="1"/>
    <col min="15" max="15" width="33" style="8" hidden="1" customWidth="1"/>
    <col min="16" max="16" width="5.625" style="7" hidden="1" customWidth="1"/>
    <col min="17" max="17" width="24.125" style="8" hidden="1" customWidth="1"/>
    <col min="18" max="18" width="10.125" style="7" customWidth="1"/>
    <col min="19" max="19" width="11.4583333333333" style="1" customWidth="1"/>
    <col min="20" max="20" width="12.625" style="1" customWidth="1"/>
    <col min="21" max="22" width="12.625" style="1"/>
    <col min="23" max="23" width="12.2083333333333" style="1" customWidth="1"/>
    <col min="24" max="24" width="11.1666666666667" style="1" customWidth="1"/>
    <col min="25" max="25" width="13.375" style="1" customWidth="1"/>
    <col min="26" max="26" width="10.1416666666667" style="238" customWidth="1"/>
    <col min="27" max="27" width="11.5" style="1"/>
    <col min="28" max="35" width="9" style="1"/>
    <col min="36" max="36" width="11.5" style="1"/>
    <col min="37" max="16384" width="9" style="1"/>
  </cols>
  <sheetData>
    <row r="1" s="1" customFormat="1" customHeight="1" spans="1:36">
      <c r="A1" s="120" t="s">
        <v>254</v>
      </c>
      <c r="B1" s="239"/>
      <c r="C1" s="120"/>
      <c r="D1" s="120"/>
      <c r="E1" s="240"/>
      <c r="F1" s="240"/>
      <c r="G1" s="239"/>
      <c r="H1" s="239"/>
      <c r="I1" s="239"/>
      <c r="J1" s="239"/>
      <c r="K1" s="239"/>
      <c r="L1" s="239"/>
      <c r="M1" s="239"/>
      <c r="N1" s="239"/>
      <c r="O1" s="240"/>
      <c r="P1" s="239"/>
      <c r="Q1" s="240"/>
      <c r="R1" s="239"/>
      <c r="Z1" s="238"/>
    </row>
    <row r="2" s="118" customFormat="1" ht="38" customHeight="1" spans="1:36">
      <c r="A2" s="121" t="s">
        <v>2</v>
      </c>
      <c r="B2" s="121" t="s">
        <v>3</v>
      </c>
      <c r="C2" s="121" t="s">
        <v>4</v>
      </c>
      <c r="D2" s="121" t="s">
        <v>5</v>
      </c>
      <c r="E2" s="121" t="s">
        <v>6</v>
      </c>
      <c r="F2" s="121" t="s">
        <v>7</v>
      </c>
      <c r="G2" s="122" t="s">
        <v>8</v>
      </c>
      <c r="H2" s="122"/>
      <c r="I2" s="122"/>
      <c r="J2" s="122"/>
      <c r="K2" s="122" t="s">
        <v>9</v>
      </c>
      <c r="L2" s="122" t="s">
        <v>10</v>
      </c>
      <c r="M2" s="122" t="s">
        <v>11</v>
      </c>
      <c r="N2" s="121" t="s">
        <v>255</v>
      </c>
      <c r="O2" s="122" t="s">
        <v>13</v>
      </c>
      <c r="P2" s="241" t="s">
        <v>14</v>
      </c>
      <c r="Q2" s="241" t="s">
        <v>15</v>
      </c>
      <c r="R2" s="123" t="s">
        <v>16</v>
      </c>
      <c r="S2" s="242" t="s">
        <v>18</v>
      </c>
      <c r="T2" s="242" t="s">
        <v>19</v>
      </c>
      <c r="U2" s="242" t="s">
        <v>20</v>
      </c>
      <c r="V2" s="242" t="s">
        <v>21</v>
      </c>
      <c r="W2" s="242" t="s">
        <v>22</v>
      </c>
      <c r="X2" s="242" t="s">
        <v>23</v>
      </c>
      <c r="Y2" s="242" t="s">
        <v>24</v>
      </c>
      <c r="Z2" s="243" t="s">
        <v>25</v>
      </c>
      <c r="AA2" s="242" t="s">
        <v>26</v>
      </c>
      <c r="AB2" s="242" t="s">
        <v>27</v>
      </c>
      <c r="AC2" s="242" t="s">
        <v>28</v>
      </c>
      <c r="AD2" s="242"/>
      <c r="AE2" s="242"/>
      <c r="AF2" s="242"/>
      <c r="AG2" s="242" t="s">
        <v>29</v>
      </c>
      <c r="AH2" s="242"/>
      <c r="AI2" s="242"/>
      <c r="AJ2" s="244"/>
    </row>
    <row r="3" s="118" customFormat="1" ht="38" customHeight="1" spans="1:36">
      <c r="A3" s="124"/>
      <c r="B3" s="124"/>
      <c r="C3" s="124"/>
      <c r="D3" s="124"/>
      <c r="E3" s="124"/>
      <c r="F3" s="124"/>
      <c r="G3" s="93" t="s">
        <v>30</v>
      </c>
      <c r="H3" s="93" t="s">
        <v>31</v>
      </c>
      <c r="I3" s="93" t="s">
        <v>32</v>
      </c>
      <c r="J3" s="125" t="s">
        <v>34</v>
      </c>
      <c r="K3" s="125"/>
      <c r="L3" s="125"/>
      <c r="M3" s="125"/>
      <c r="N3" s="124"/>
      <c r="O3" s="125"/>
      <c r="P3" s="245"/>
      <c r="Q3" s="245"/>
      <c r="R3" s="126"/>
      <c r="S3" s="246"/>
      <c r="T3" s="246"/>
      <c r="U3" s="246"/>
      <c r="V3" s="246"/>
      <c r="W3" s="246"/>
      <c r="X3" s="246"/>
      <c r="Y3" s="246"/>
      <c r="Z3" s="247"/>
      <c r="AA3" s="246"/>
      <c r="AB3" s="246"/>
      <c r="AC3" s="246"/>
      <c r="AD3" s="246"/>
      <c r="AE3" s="246"/>
      <c r="AF3" s="246"/>
      <c r="AG3" s="246"/>
      <c r="AH3" s="246"/>
      <c r="AI3" s="246"/>
      <c r="AJ3" s="248"/>
    </row>
    <row r="4" s="119" customFormat="1" ht="36" customHeight="1" spans="1:36">
      <c r="A4" s="16">
        <f>A5+A11+A13</f>
        <v>7</v>
      </c>
      <c r="B4" s="127" t="s">
        <v>30</v>
      </c>
      <c r="C4" s="128" t="s">
        <v>30</v>
      </c>
      <c r="D4" s="127"/>
      <c r="E4" s="249"/>
      <c r="F4" s="129"/>
      <c r="G4" s="16">
        <f>G5+G11+G13</f>
        <v>2166</v>
      </c>
      <c r="H4" s="16">
        <f>H5+H11+H13</f>
        <v>424</v>
      </c>
      <c r="I4" s="16">
        <f>I5+I11+I13</f>
        <v>360</v>
      </c>
      <c r="J4" s="16">
        <f>J5+J11+J13</f>
        <v>1382</v>
      </c>
      <c r="K4" s="49"/>
      <c r="L4" s="46"/>
      <c r="M4" s="46"/>
      <c r="N4" s="46"/>
      <c r="O4" s="46"/>
      <c r="P4" s="46"/>
      <c r="Q4" s="46"/>
      <c r="R4" s="50"/>
      <c r="S4" s="246"/>
      <c r="T4" s="246"/>
      <c r="U4" s="246"/>
      <c r="V4" s="246"/>
      <c r="W4" s="246"/>
      <c r="X4" s="246"/>
      <c r="Y4" s="246"/>
      <c r="Z4" s="247"/>
      <c r="AA4" s="246"/>
      <c r="AB4" s="246"/>
      <c r="AC4" s="246"/>
      <c r="AD4" s="246"/>
      <c r="AE4" s="246"/>
      <c r="AF4" s="246"/>
      <c r="AG4" s="246"/>
      <c r="AH4" s="246"/>
      <c r="AI4" s="246"/>
      <c r="AJ4" s="248"/>
    </row>
    <row r="5" s="119" customFormat="1" ht="36" customHeight="1" spans="1:36">
      <c r="A5" s="130">
        <v>5</v>
      </c>
      <c r="B5" s="127" t="s">
        <v>35</v>
      </c>
      <c r="C5" s="128" t="s">
        <v>36</v>
      </c>
      <c r="D5" s="127"/>
      <c r="E5" s="249"/>
      <c r="F5" s="129"/>
      <c r="G5" s="16">
        <v>160</v>
      </c>
      <c r="H5" s="16">
        <v>110</v>
      </c>
      <c r="I5" s="16">
        <f>SUM(I6:I8)</f>
        <v>50</v>
      </c>
      <c r="J5" s="16">
        <f>SUM(J6:J8)</f>
        <v>0</v>
      </c>
      <c r="K5" s="49"/>
      <c r="L5" s="46"/>
      <c r="M5" s="46"/>
      <c r="N5" s="46"/>
      <c r="O5" s="46"/>
      <c r="P5" s="46"/>
      <c r="Q5" s="46"/>
      <c r="R5" s="50"/>
      <c r="S5" s="250"/>
      <c r="T5" s="250"/>
      <c r="U5" s="250"/>
      <c r="V5" s="250"/>
      <c r="W5" s="250"/>
      <c r="X5" s="250"/>
      <c r="Y5" s="250"/>
      <c r="Z5" s="251"/>
      <c r="AA5" s="250"/>
      <c r="AB5" s="250"/>
      <c r="AC5" s="250" t="s">
        <v>37</v>
      </c>
      <c r="AD5" s="250" t="s">
        <v>38</v>
      </c>
      <c r="AE5" s="250" t="s">
        <v>39</v>
      </c>
      <c r="AF5" s="250" t="s">
        <v>40</v>
      </c>
      <c r="AG5" s="250" t="s">
        <v>37</v>
      </c>
      <c r="AH5" s="250" t="s">
        <v>38</v>
      </c>
      <c r="AI5" s="250" t="s">
        <v>39</v>
      </c>
      <c r="AJ5" s="252" t="s">
        <v>40</v>
      </c>
    </row>
    <row r="6" s="1" customFormat="1" ht="33" customHeight="1" spans="1:36">
      <c r="A6" s="30">
        <v>1</v>
      </c>
      <c r="B6" s="12" t="s">
        <v>42</v>
      </c>
      <c r="C6" s="12" t="s">
        <v>43</v>
      </c>
      <c r="D6" s="12" t="s">
        <v>256</v>
      </c>
      <c r="E6" s="14" t="s">
        <v>257</v>
      </c>
      <c r="F6" s="12" t="s">
        <v>67</v>
      </c>
      <c r="G6" s="16">
        <f>H6+I6+J6</f>
        <v>50</v>
      </c>
      <c r="H6" s="16"/>
      <c r="I6" s="16">
        <v>50</v>
      </c>
      <c r="J6" s="16"/>
      <c r="K6" s="12" t="s">
        <v>47</v>
      </c>
      <c r="L6" s="12" t="s">
        <v>67</v>
      </c>
      <c r="M6" s="30" t="s">
        <v>258</v>
      </c>
      <c r="N6" s="17">
        <v>45931</v>
      </c>
      <c r="O6" s="31" t="s">
        <v>259</v>
      </c>
      <c r="P6" s="30" t="s">
        <v>50</v>
      </c>
      <c r="Q6" s="31" t="s">
        <v>260</v>
      </c>
      <c r="R6" s="253" t="s">
        <v>261</v>
      </c>
      <c r="S6" s="24">
        <v>485527.37</v>
      </c>
      <c r="T6" s="24"/>
      <c r="U6" s="24"/>
      <c r="V6" s="24"/>
      <c r="W6" s="24"/>
      <c r="X6" s="24"/>
      <c r="Y6" s="24"/>
      <c r="Z6" s="254"/>
      <c r="AA6" s="24"/>
      <c r="AB6" s="24"/>
      <c r="AC6" s="24"/>
      <c r="AD6" s="24"/>
      <c r="AE6" s="24"/>
      <c r="AF6" s="24"/>
      <c r="AG6" s="24"/>
      <c r="AH6" s="24"/>
      <c r="AI6" s="24"/>
      <c r="AJ6" s="24"/>
    </row>
    <row r="7" s="1" customFormat="1" ht="33" customHeight="1" spans="1:36">
      <c r="A7" s="30">
        <v>2</v>
      </c>
      <c r="B7" s="12" t="s">
        <v>42</v>
      </c>
      <c r="C7" s="12" t="s">
        <v>43</v>
      </c>
      <c r="D7" s="12" t="s">
        <v>262</v>
      </c>
      <c r="E7" s="14" t="s">
        <v>263</v>
      </c>
      <c r="F7" s="12" t="s">
        <v>264</v>
      </c>
      <c r="G7" s="16">
        <f>H7+I7+J7</f>
        <v>50</v>
      </c>
      <c r="H7" s="16">
        <v>50</v>
      </c>
      <c r="I7" s="16"/>
      <c r="J7" s="16"/>
      <c r="K7" s="12" t="s">
        <v>47</v>
      </c>
      <c r="L7" s="12" t="str">
        <f>F7</f>
        <v>河街乡付庄村</v>
      </c>
      <c r="M7" s="30" t="s">
        <v>265</v>
      </c>
      <c r="N7" s="17">
        <v>45931</v>
      </c>
      <c r="O7" s="31" t="s">
        <v>259</v>
      </c>
      <c r="P7" s="30" t="s">
        <v>50</v>
      </c>
      <c r="Q7" s="31" t="s">
        <v>260</v>
      </c>
      <c r="R7" s="253"/>
      <c r="S7" s="24"/>
      <c r="T7" s="24"/>
      <c r="U7" s="24"/>
      <c r="V7" s="24"/>
      <c r="W7" s="24"/>
      <c r="X7" s="24"/>
      <c r="Y7" s="24"/>
      <c r="Z7" s="254"/>
      <c r="AA7" s="24"/>
      <c r="AB7" s="24"/>
      <c r="AC7" s="24"/>
      <c r="AD7" s="24"/>
      <c r="AE7" s="24"/>
      <c r="AF7" s="24"/>
      <c r="AG7" s="24"/>
      <c r="AH7" s="24"/>
      <c r="AI7" s="24"/>
      <c r="AJ7" s="24"/>
    </row>
    <row r="8" s="1" customFormat="1" ht="33" customHeight="1" spans="1:36">
      <c r="A8" s="30">
        <v>3</v>
      </c>
      <c r="B8" s="12" t="s">
        <v>42</v>
      </c>
      <c r="C8" s="12" t="s">
        <v>43</v>
      </c>
      <c r="D8" s="12" t="s">
        <v>266</v>
      </c>
      <c r="E8" s="14" t="s">
        <v>267</v>
      </c>
      <c r="F8" s="12" t="s">
        <v>268</v>
      </c>
      <c r="G8" s="16">
        <f>H8+I8+J8</f>
        <v>20</v>
      </c>
      <c r="H8" s="16">
        <v>20</v>
      </c>
      <c r="I8" s="16"/>
      <c r="J8" s="16"/>
      <c r="K8" s="12" t="s">
        <v>47</v>
      </c>
      <c r="L8" s="12" t="str">
        <f>F8</f>
        <v>陈曹乡孙村村</v>
      </c>
      <c r="M8" s="30" t="s">
        <v>269</v>
      </c>
      <c r="N8" s="17">
        <v>45931</v>
      </c>
      <c r="O8" s="31" t="s">
        <v>259</v>
      </c>
      <c r="P8" s="30" t="s">
        <v>50</v>
      </c>
      <c r="Q8" s="31" t="s">
        <v>260</v>
      </c>
      <c r="R8" s="253"/>
      <c r="S8" s="24"/>
      <c r="T8" s="24"/>
      <c r="U8" s="24"/>
      <c r="V8" s="24"/>
      <c r="W8" s="24"/>
      <c r="X8" s="24"/>
      <c r="Y8" s="24"/>
      <c r="Z8" s="254"/>
      <c r="AA8" s="24"/>
      <c r="AB8" s="24"/>
      <c r="AC8" s="24"/>
      <c r="AD8" s="24"/>
      <c r="AE8" s="24"/>
      <c r="AF8" s="24"/>
      <c r="AG8" s="24"/>
      <c r="AH8" s="24"/>
      <c r="AI8" s="24"/>
      <c r="AJ8" s="24"/>
    </row>
    <row r="9" s="1" customFormat="1" ht="33" customHeight="1" spans="1:36">
      <c r="A9" s="30">
        <v>4</v>
      </c>
      <c r="B9" s="12" t="s">
        <v>42</v>
      </c>
      <c r="C9" s="12" t="s">
        <v>43</v>
      </c>
      <c r="D9" s="12" t="s">
        <v>270</v>
      </c>
      <c r="E9" s="14" t="s">
        <v>267</v>
      </c>
      <c r="F9" s="48" t="s">
        <v>271</v>
      </c>
      <c r="G9" s="16">
        <f>H9+I9+J9</f>
        <v>20</v>
      </c>
      <c r="H9" s="16">
        <v>20</v>
      </c>
      <c r="I9" s="16"/>
      <c r="J9" s="16"/>
      <c r="K9" s="12" t="s">
        <v>47</v>
      </c>
      <c r="L9" s="12" t="str">
        <f>F9</f>
        <v>五女店刘崔吴村</v>
      </c>
      <c r="M9" s="30" t="s">
        <v>272</v>
      </c>
      <c r="N9" s="17">
        <v>45931</v>
      </c>
      <c r="O9" s="31" t="s">
        <v>259</v>
      </c>
      <c r="P9" s="30" t="s">
        <v>50</v>
      </c>
      <c r="Q9" s="31" t="s">
        <v>51</v>
      </c>
      <c r="R9" s="253"/>
      <c r="S9" s="24"/>
      <c r="T9" s="24"/>
      <c r="U9" s="24"/>
      <c r="V9" s="24"/>
      <c r="W9" s="24"/>
      <c r="X9" s="24"/>
      <c r="Y9" s="24"/>
      <c r="Z9" s="254"/>
      <c r="AA9" s="24"/>
      <c r="AB9" s="24"/>
      <c r="AC9" s="24"/>
      <c r="AD9" s="24"/>
      <c r="AE9" s="24"/>
      <c r="AF9" s="24"/>
      <c r="AG9" s="24"/>
      <c r="AH9" s="24"/>
      <c r="AI9" s="24"/>
      <c r="AJ9" s="24"/>
    </row>
    <row r="10" s="1" customFormat="1" ht="33" customHeight="1" spans="1:36">
      <c r="A10" s="30">
        <v>5</v>
      </c>
      <c r="B10" s="12" t="s">
        <v>42</v>
      </c>
      <c r="C10" s="12" t="s">
        <v>43</v>
      </c>
      <c r="D10" s="12" t="s">
        <v>273</v>
      </c>
      <c r="E10" s="14" t="s">
        <v>267</v>
      </c>
      <c r="F10" s="48" t="s">
        <v>274</v>
      </c>
      <c r="G10" s="16">
        <f>H10+I10+J10</f>
        <v>20</v>
      </c>
      <c r="H10" s="16">
        <v>20</v>
      </c>
      <c r="I10" s="16"/>
      <c r="J10" s="16"/>
      <c r="K10" s="12" t="s">
        <v>47</v>
      </c>
      <c r="L10" s="12" t="str">
        <f>F10</f>
        <v>桂村乡桂东村</v>
      </c>
      <c r="M10" s="30" t="s">
        <v>275</v>
      </c>
      <c r="N10" s="17">
        <v>45931</v>
      </c>
      <c r="O10" s="31" t="s">
        <v>259</v>
      </c>
      <c r="P10" s="30" t="s">
        <v>50</v>
      </c>
      <c r="Q10" s="31" t="s">
        <v>260</v>
      </c>
      <c r="R10" s="253"/>
      <c r="S10" s="24"/>
      <c r="T10" s="24"/>
      <c r="U10" s="24"/>
      <c r="V10" s="24"/>
      <c r="W10" s="24"/>
      <c r="X10" s="24"/>
      <c r="Y10" s="24"/>
      <c r="Z10" s="254"/>
      <c r="AA10" s="24"/>
      <c r="AB10" s="24"/>
      <c r="AC10" s="24"/>
      <c r="AD10" s="24"/>
      <c r="AE10" s="24"/>
      <c r="AF10" s="24"/>
      <c r="AG10" s="24"/>
      <c r="AH10" s="24"/>
      <c r="AI10" s="24"/>
      <c r="AJ10" s="24"/>
    </row>
    <row r="11" s="1" customFormat="1" ht="36" customHeight="1" spans="1:36">
      <c r="A11" s="30">
        <v>1</v>
      </c>
      <c r="B11" s="46" t="s">
        <v>187</v>
      </c>
      <c r="C11" s="46" t="s">
        <v>188</v>
      </c>
      <c r="D11" s="46"/>
      <c r="E11" s="47"/>
      <c r="F11" s="48"/>
      <c r="G11" s="16">
        <f>SUM(G12)</f>
        <v>2000</v>
      </c>
      <c r="H11" s="16">
        <f>SUM(H12)</f>
        <v>308</v>
      </c>
      <c r="I11" s="16">
        <f>SUM(I12)</f>
        <v>310</v>
      </c>
      <c r="J11" s="16">
        <f>SUM(J12)</f>
        <v>1382</v>
      </c>
      <c r="K11" s="49"/>
      <c r="L11" s="46"/>
      <c r="M11" s="46"/>
      <c r="N11" s="46"/>
      <c r="O11" s="46"/>
      <c r="P11" s="46"/>
      <c r="Q11" s="46"/>
      <c r="R11" s="46"/>
      <c r="S11" s="24"/>
      <c r="T11" s="24"/>
      <c r="U11" s="24"/>
      <c r="V11" s="24"/>
      <c r="W11" s="24"/>
      <c r="X11" s="24"/>
      <c r="Y11" s="24"/>
      <c r="Z11" s="254"/>
      <c r="AA11" s="24"/>
      <c r="AB11" s="24"/>
      <c r="AC11" s="24"/>
      <c r="AD11" s="24"/>
      <c r="AE11" s="24"/>
      <c r="AF11" s="24"/>
      <c r="AG11" s="24"/>
      <c r="AH11" s="24"/>
      <c r="AI11" s="24"/>
      <c r="AJ11" s="24"/>
    </row>
    <row r="12" s="1" customFormat="1" ht="37" customHeight="1" spans="1:36">
      <c r="A12" s="30">
        <v>1</v>
      </c>
      <c r="B12" s="12" t="s">
        <v>189</v>
      </c>
      <c r="C12" s="12" t="s">
        <v>43</v>
      </c>
      <c r="D12" s="12" t="s">
        <v>276</v>
      </c>
      <c r="E12" s="14" t="s">
        <v>277</v>
      </c>
      <c r="F12" s="12" t="s">
        <v>179</v>
      </c>
      <c r="G12" s="16">
        <v>2000</v>
      </c>
      <c r="H12" s="16">
        <v>308</v>
      </c>
      <c r="I12" s="16">
        <v>310</v>
      </c>
      <c r="J12" s="16">
        <v>1382</v>
      </c>
      <c r="K12" s="12" t="s">
        <v>47</v>
      </c>
      <c r="L12" s="12"/>
      <c r="M12" s="30" t="s">
        <v>278</v>
      </c>
      <c r="N12" s="17">
        <v>45962</v>
      </c>
      <c r="O12" s="31" t="s">
        <v>193</v>
      </c>
      <c r="P12" s="19" t="s">
        <v>50</v>
      </c>
      <c r="Q12" s="20" t="s">
        <v>279</v>
      </c>
      <c r="R12" s="19"/>
      <c r="S12" s="24"/>
      <c r="T12" s="24"/>
      <c r="U12" s="24"/>
      <c r="V12" s="24"/>
      <c r="W12" s="24"/>
      <c r="X12" s="24"/>
      <c r="Y12" s="24"/>
      <c r="Z12" s="254"/>
      <c r="AA12" s="24"/>
      <c r="AB12" s="24"/>
      <c r="AC12" s="24"/>
      <c r="AD12" s="24"/>
      <c r="AE12" s="24"/>
      <c r="AF12" s="24"/>
      <c r="AG12" s="24"/>
      <c r="AH12" s="24"/>
      <c r="AI12" s="24"/>
      <c r="AJ12" s="24"/>
    </row>
    <row r="13" s="1" customFormat="1" ht="37" customHeight="1" spans="1:36">
      <c r="A13" s="30">
        <v>1</v>
      </c>
      <c r="B13" s="46" t="s">
        <v>196</v>
      </c>
      <c r="C13" s="46" t="s">
        <v>196</v>
      </c>
      <c r="D13" s="46"/>
      <c r="E13" s="47"/>
      <c r="F13" s="48"/>
      <c r="G13" s="16">
        <f>SUM(G14:G14)</f>
        <v>6</v>
      </c>
      <c r="H13" s="16">
        <f>SUM(H14:H14)</f>
        <v>6</v>
      </c>
      <c r="I13" s="16"/>
      <c r="J13" s="16"/>
      <c r="K13" s="49"/>
      <c r="L13" s="46"/>
      <c r="M13" s="46"/>
      <c r="N13" s="46"/>
      <c r="O13" s="46"/>
      <c r="P13" s="46"/>
      <c r="Q13" s="46"/>
      <c r="R13" s="46"/>
      <c r="S13" s="24"/>
      <c r="T13" s="24"/>
      <c r="U13" s="24"/>
      <c r="V13" s="24"/>
      <c r="W13" s="24"/>
      <c r="X13" s="24"/>
      <c r="Y13" s="24"/>
      <c r="Z13" s="254"/>
      <c r="AA13" s="24"/>
      <c r="AB13" s="24"/>
      <c r="AC13" s="24"/>
      <c r="AD13" s="24"/>
      <c r="AE13" s="24"/>
      <c r="AF13" s="24"/>
      <c r="AG13" s="24"/>
      <c r="AH13" s="24"/>
      <c r="AI13" s="24"/>
      <c r="AJ13" s="24"/>
    </row>
    <row r="14" s="1" customFormat="1" ht="36" customHeight="1" spans="1:36">
      <c r="A14" s="30">
        <v>1</v>
      </c>
      <c r="B14" s="12" t="s">
        <v>197</v>
      </c>
      <c r="C14" s="12" t="s">
        <v>43</v>
      </c>
      <c r="D14" s="12" t="s">
        <v>280</v>
      </c>
      <c r="E14" s="14" t="s">
        <v>199</v>
      </c>
      <c r="F14" s="12" t="s">
        <v>182</v>
      </c>
      <c r="G14" s="16">
        <v>6</v>
      </c>
      <c r="H14" s="16">
        <v>6</v>
      </c>
      <c r="I14" s="16"/>
      <c r="J14" s="16"/>
      <c r="K14" s="12" t="s">
        <v>47</v>
      </c>
      <c r="L14" s="12" t="s">
        <v>182</v>
      </c>
      <c r="M14" s="16" t="s">
        <v>200</v>
      </c>
      <c r="N14" s="17">
        <v>45992</v>
      </c>
      <c r="O14" s="14" t="s">
        <v>201</v>
      </c>
      <c r="P14" s="19" t="s">
        <v>50</v>
      </c>
      <c r="Q14" s="40" t="s">
        <v>185</v>
      </c>
      <c r="R14" s="49"/>
      <c r="S14" s="24">
        <v>60000</v>
      </c>
      <c r="T14" s="24">
        <v>60000</v>
      </c>
      <c r="U14" s="24">
        <v>60000</v>
      </c>
      <c r="V14" s="24">
        <v>60000</v>
      </c>
      <c r="W14" s="24">
        <v>60000</v>
      </c>
      <c r="X14" s="24"/>
      <c r="Y14" s="24">
        <v>60000</v>
      </c>
      <c r="Z14" s="254"/>
      <c r="AA14" s="255">
        <v>45988</v>
      </c>
      <c r="AB14" s="24"/>
      <c r="AC14" s="24">
        <v>60000</v>
      </c>
      <c r="AD14" s="24"/>
      <c r="AE14" s="24"/>
      <c r="AF14" s="24"/>
      <c r="AG14" s="24"/>
      <c r="AH14" s="24"/>
      <c r="AI14" s="24"/>
      <c r="AJ14" s="24"/>
    </row>
    <row r="15" ht="36" customHeight="1" spans="1:36">
      <c r="S15" s="24"/>
      <c r="T15" s="24"/>
      <c r="U15" s="24"/>
      <c r="V15" s="24"/>
      <c r="W15" s="24"/>
      <c r="X15" s="24"/>
      <c r="Y15" s="24"/>
      <c r="Z15" s="254"/>
      <c r="AA15" s="24"/>
      <c r="AB15" s="24"/>
      <c r="AC15" s="24"/>
      <c r="AD15" s="24"/>
      <c r="AE15" s="24"/>
      <c r="AF15" s="24"/>
      <c r="AG15" s="24"/>
      <c r="AH15" s="24"/>
      <c r="AI15" s="24"/>
      <c r="AJ15" s="24"/>
    </row>
    <row r="16" ht="30" customHeight="1" spans="1:36">
      <c r="A16" s="30">
        <v>1</v>
      </c>
      <c r="B16" s="12" t="s">
        <v>42</v>
      </c>
      <c r="C16" s="256" t="s">
        <v>43</v>
      </c>
      <c r="D16" s="257" t="s">
        <v>281</v>
      </c>
      <c r="E16" s="14" t="s">
        <v>282</v>
      </c>
      <c r="F16" s="12" t="s">
        <v>283</v>
      </c>
      <c r="G16" s="256">
        <v>2696</v>
      </c>
      <c r="H16" s="256"/>
      <c r="I16" s="256"/>
      <c r="J16" s="256">
        <v>2696</v>
      </c>
      <c r="K16" s="258"/>
      <c r="L16" s="258"/>
      <c r="M16" s="16"/>
      <c r="N16" s="16"/>
      <c r="O16" s="259"/>
      <c r="P16" s="16"/>
      <c r="Q16" s="259"/>
      <c r="R16" s="16"/>
      <c r="S16" s="90">
        <v>25724277.96</v>
      </c>
      <c r="T16" s="90">
        <v>25724277.96</v>
      </c>
      <c r="U16" s="90">
        <v>25468782.28</v>
      </c>
      <c r="V16" s="90">
        <v>25468782.28</v>
      </c>
      <c r="W16" s="23"/>
      <c r="X16" s="24"/>
      <c r="Y16" s="24">
        <v>4145179</v>
      </c>
      <c r="Z16" s="254">
        <f>+Y16/V16</f>
        <v>0.162755288196684</v>
      </c>
      <c r="AA16" s="255">
        <v>45960</v>
      </c>
      <c r="AB16" s="24"/>
      <c r="AC16" s="24"/>
      <c r="AD16" s="24">
        <f>2514600+1630579</f>
        <v>4145179</v>
      </c>
      <c r="AE16" s="24"/>
      <c r="AF16" s="24"/>
      <c r="AG16" s="24"/>
      <c r="AH16" s="24"/>
      <c r="AI16" s="24"/>
      <c r="AJ16" s="24">
        <f>+J16*10000-V16</f>
        <v>1491217.72</v>
      </c>
    </row>
    <row r="17" ht="30" customHeight="1" spans="1:36">
      <c r="A17" s="30"/>
      <c r="B17" s="12"/>
      <c r="C17" s="256"/>
      <c r="D17" s="257"/>
      <c r="E17" s="260"/>
      <c r="F17" s="12"/>
      <c r="G17" s="256"/>
      <c r="H17" s="256"/>
      <c r="I17" s="256"/>
      <c r="J17" s="256"/>
      <c r="K17" s="89"/>
      <c r="L17" s="89"/>
      <c r="M17" s="90"/>
      <c r="N17" s="90"/>
      <c r="O17" s="91"/>
      <c r="P17" s="90"/>
      <c r="Q17" s="91"/>
      <c r="R17" s="16"/>
      <c r="S17" s="90"/>
      <c r="T17" s="90"/>
      <c r="U17" s="90"/>
      <c r="V17" s="90"/>
      <c r="W17" s="38"/>
      <c r="X17" s="24"/>
      <c r="Y17" s="24"/>
      <c r="Z17" s="254"/>
      <c r="AA17" s="24"/>
      <c r="AB17" s="24"/>
      <c r="AC17" s="24"/>
      <c r="AD17" s="24"/>
      <c r="AE17" s="24"/>
      <c r="AF17" s="24"/>
      <c r="AG17" s="24"/>
      <c r="AH17" s="24"/>
      <c r="AI17" s="24"/>
      <c r="AJ17" s="24"/>
    </row>
  </sheetData>
  <mergeCells count="51">
    <mergeCell ref="A1:Q1"/>
    <mergeCell ref="G2:J2"/>
    <mergeCell ref="B4:F4"/>
    <mergeCell ref="K4:R4"/>
    <mergeCell ref="B5:F5"/>
    <mergeCell ref="K5:R5"/>
    <mergeCell ref="B11:F11"/>
    <mergeCell ref="K11:R11"/>
    <mergeCell ref="B13:F13"/>
    <mergeCell ref="K13:R13"/>
    <mergeCell ref="A2:A3"/>
    <mergeCell ref="A16:A17"/>
    <mergeCell ref="B2:B3"/>
    <mergeCell ref="B16:B17"/>
    <mergeCell ref="C2:C3"/>
    <mergeCell ref="C16:C17"/>
    <mergeCell ref="D2:D3"/>
    <mergeCell ref="D16:D17"/>
    <mergeCell ref="E2:E3"/>
    <mergeCell ref="F2:F3"/>
    <mergeCell ref="F16:F17"/>
    <mergeCell ref="G16:G17"/>
    <mergeCell ref="H16:H17"/>
    <mergeCell ref="I16:I17"/>
    <mergeCell ref="J16:J17"/>
    <mergeCell ref="K2:K3"/>
    <mergeCell ref="L2:L3"/>
    <mergeCell ref="M2:M3"/>
    <mergeCell ref="N2:N3"/>
    <mergeCell ref="O2:O3"/>
    <mergeCell ref="P2:P3"/>
    <mergeCell ref="Q2:Q3"/>
    <mergeCell ref="R2:R3"/>
    <mergeCell ref="R16:R17"/>
    <mergeCell ref="S2:S5"/>
    <mergeCell ref="S16:S17"/>
    <mergeCell ref="T2:T5"/>
    <mergeCell ref="T16:T17"/>
    <mergeCell ref="U2:U5"/>
    <mergeCell ref="U16:U17"/>
    <mergeCell ref="V2:V5"/>
    <mergeCell ref="V16:V17"/>
    <mergeCell ref="W2:W5"/>
    <mergeCell ref="W16:W17"/>
    <mergeCell ref="X2:X5"/>
    <mergeCell ref="Y2:Y5"/>
    <mergeCell ref="Z2:Z5"/>
    <mergeCell ref="AA2:AA5"/>
    <mergeCell ref="AB2:AB5"/>
    <mergeCell ref="AC2:AF4"/>
    <mergeCell ref="AG2:AJ4"/>
  </mergeCells>
  <pageMargins left="0.75" right="0.75" top="1" bottom="1" header="0.511805555555556" footer="0.511805555555556"/>
  <pageSetup paperSize="9" scale="64" fitToWidth="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workbookViewId="0">
      <selection activeCell="I5" sqref="I5"/>
    </sheetView>
  </sheetViews>
  <sheetFormatPr defaultColWidth="16.75" defaultRowHeight="30" customHeight="1" outlineLevelRow="4"/>
  <cols>
    <col min="1" max="1" width="17.125" customWidth="1"/>
    <col min="2" max="5" width="11.625" customWidth="1"/>
    <col min="6" max="6" width="13.125" customWidth="1"/>
    <col min="7" max="9" width="11.625" customWidth="1"/>
    <col min="10" max="10" width="13.75" customWidth="1"/>
    <col min="11" max="14" width="11.625" customWidth="1"/>
    <col min="15" max="16384" width="16.75" customWidth="1"/>
  </cols>
  <sheetData>
    <row r="1" s="160" customFormat="1" customHeight="1" spans="1:14">
      <c r="B1" s="160" t="s">
        <v>284</v>
      </c>
      <c r="F1" s="160" t="s">
        <v>20</v>
      </c>
      <c r="K1" s="160" t="s">
        <v>29</v>
      </c>
    </row>
    <row r="2" s="160" customFormat="1" customHeight="1" spans="1:14">
      <c r="B2" s="160" t="s">
        <v>37</v>
      </c>
      <c r="C2" s="160" t="s">
        <v>38</v>
      </c>
      <c r="D2" s="160" t="s">
        <v>39</v>
      </c>
      <c r="E2" s="160" t="s">
        <v>40</v>
      </c>
      <c r="F2" s="160" t="s">
        <v>285</v>
      </c>
      <c r="G2" s="160" t="s">
        <v>37</v>
      </c>
      <c r="H2" s="160" t="s">
        <v>38</v>
      </c>
      <c r="I2" s="160" t="s">
        <v>39</v>
      </c>
      <c r="J2" s="160" t="s">
        <v>40</v>
      </c>
      <c r="K2" s="160" t="s">
        <v>37</v>
      </c>
      <c r="L2" s="160" t="s">
        <v>38</v>
      </c>
      <c r="M2" s="160" t="s">
        <v>39</v>
      </c>
      <c r="N2" s="160" t="s">
        <v>40</v>
      </c>
    </row>
    <row r="3" customHeight="1" spans="1:14">
      <c r="A3" t="s">
        <v>286</v>
      </c>
      <c r="B3">
        <v>2300</v>
      </c>
      <c r="C3">
        <v>615</v>
      </c>
      <c r="D3">
        <v>938</v>
      </c>
      <c r="E3">
        <v>1347</v>
      </c>
    </row>
    <row r="4" customHeight="1" spans="1:14">
      <c r="A4" t="s">
        <v>287</v>
      </c>
      <c r="B4">
        <v>418</v>
      </c>
      <c r="C4">
        <v>146.9421</v>
      </c>
      <c r="D4">
        <v>-91.1715</v>
      </c>
      <c r="E4">
        <v>-473.7706</v>
      </c>
    </row>
    <row r="5" customHeight="1" spans="1:14">
      <c r="A5" t="s">
        <v>17</v>
      </c>
      <c r="B5">
        <f>SUM(B3:B4)</f>
        <v>2718</v>
      </c>
      <c r="C5">
        <f>SUM(C3:C4)</f>
        <v>761.9421</v>
      </c>
      <c r="D5">
        <f>SUM(D3:D4)</f>
        <v>846.8285</v>
      </c>
      <c r="E5">
        <f>SUM(E3:E4)</f>
        <v>873.2294</v>
      </c>
      <c r="F5">
        <v>46812912.17</v>
      </c>
      <c r="G5">
        <v>2718</v>
      </c>
      <c r="H5">
        <v>711.9421</v>
      </c>
      <c r="I5">
        <v>846.8285</v>
      </c>
      <c r="J5">
        <f>+F5/10000-G5-H5-I5</f>
        <v>404.520617</v>
      </c>
      <c r="M5">
        <v>87.076963</v>
      </c>
      <c r="N5">
        <v>431.63182</v>
      </c>
    </row>
  </sheetData>
  <mergeCells count="3">
    <mergeCell ref="B1:E1"/>
    <mergeCell ref="F1:J1"/>
    <mergeCell ref="K1:N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6"/>
  <sheetViews>
    <sheetView workbookViewId="0">
      <selection activeCell="AA9" sqref="AA9"/>
    </sheetView>
  </sheetViews>
  <sheetFormatPr defaultColWidth="9" defaultRowHeight="11.25"/>
  <cols>
    <col min="1" max="1" width="19.75" style="215" customWidth="1"/>
    <col min="2" max="2" width="12.125" style="216" customWidth="1"/>
    <col min="3" max="5" width="4.375" style="217" customWidth="1"/>
    <col min="6" max="6" width="5.875" style="217" customWidth="1"/>
    <col min="7" max="7" width="5.125" style="216" customWidth="1"/>
    <col min="8" max="8" width="7.25" style="216" customWidth="1"/>
    <col min="9" max="11" width="6.375" style="216" customWidth="1"/>
    <col min="12" max="17" width="4.875" style="216" customWidth="1"/>
    <col min="18" max="18" width="6.625" style="216" customWidth="1"/>
    <col min="19" max="22" width="8.125" style="216" customWidth="1"/>
    <col min="23" max="23" width="9.625" style="216" customWidth="1"/>
    <col min="24" max="24" width="8.125" style="216" customWidth="1"/>
    <col min="25" max="25" width="10.125" style="216" customWidth="1"/>
    <col min="26" max="27" width="8.125" style="216" customWidth="1"/>
    <col min="28" max="28" width="8.75" style="216" customWidth="1"/>
    <col min="29" max="16384" width="9" style="216"/>
  </cols>
  <sheetData>
    <row r="1" s="214" customFormat="1" ht="33" customHeight="1" spans="1:30">
      <c r="C1" s="214" t="s">
        <v>31</v>
      </c>
      <c r="D1" s="214" t="s">
        <v>32</v>
      </c>
      <c r="E1" s="214" t="s">
        <v>33</v>
      </c>
      <c r="F1" s="214" t="s">
        <v>288</v>
      </c>
      <c r="G1" s="214" t="s">
        <v>30</v>
      </c>
      <c r="H1" s="218" t="s">
        <v>289</v>
      </c>
      <c r="I1" s="218" t="s">
        <v>290</v>
      </c>
      <c r="J1" s="218" t="s">
        <v>291</v>
      </c>
      <c r="K1" s="218" t="s">
        <v>292</v>
      </c>
      <c r="L1" s="218" t="s">
        <v>293</v>
      </c>
      <c r="M1" s="218" t="s">
        <v>294</v>
      </c>
      <c r="N1" s="218" t="s">
        <v>295</v>
      </c>
      <c r="O1" s="218" t="s">
        <v>296</v>
      </c>
      <c r="P1" s="218" t="s">
        <v>297</v>
      </c>
      <c r="Q1" s="218" t="s">
        <v>298</v>
      </c>
      <c r="R1" s="218" t="s">
        <v>299</v>
      </c>
      <c r="S1" s="218" t="s">
        <v>213</v>
      </c>
      <c r="T1" s="218" t="s">
        <v>300</v>
      </c>
      <c r="U1" s="218" t="s">
        <v>301</v>
      </c>
      <c r="V1" s="218" t="s">
        <v>302</v>
      </c>
      <c r="W1" s="218" t="s">
        <v>303</v>
      </c>
      <c r="X1" s="218" t="s">
        <v>304</v>
      </c>
      <c r="Y1" s="218" t="s">
        <v>276</v>
      </c>
      <c r="Z1" s="218" t="s">
        <v>305</v>
      </c>
      <c r="AA1" s="219" t="s">
        <v>306</v>
      </c>
      <c r="AB1" s="219" t="s">
        <v>307</v>
      </c>
      <c r="AC1" s="219" t="s">
        <v>213</v>
      </c>
    </row>
    <row r="2" ht="28" customHeight="1" spans="1:30">
      <c r="A2" s="220" t="s">
        <v>308</v>
      </c>
      <c r="B2" s="220" t="s">
        <v>309</v>
      </c>
      <c r="C2" s="221">
        <v>47</v>
      </c>
      <c r="D2" s="222"/>
      <c r="E2" s="223"/>
      <c r="F2" s="224"/>
      <c r="G2" s="225">
        <v>62</v>
      </c>
      <c r="H2" s="226"/>
      <c r="I2" s="226">
        <v>47</v>
      </c>
      <c r="J2" s="226"/>
      <c r="K2" s="226"/>
      <c r="L2" s="226"/>
      <c r="M2" s="226"/>
      <c r="N2" s="226"/>
      <c r="O2" s="226"/>
      <c r="P2" s="226"/>
      <c r="Q2" s="226"/>
      <c r="R2" s="226"/>
      <c r="S2" s="226"/>
      <c r="T2" s="226"/>
      <c r="U2" s="226"/>
      <c r="V2" s="226"/>
      <c r="W2" s="226"/>
      <c r="X2" s="226"/>
      <c r="Y2" s="226"/>
      <c r="Z2" s="227"/>
      <c r="AA2" s="226"/>
      <c r="AB2" s="226"/>
      <c r="AC2" s="226"/>
      <c r="AD2" s="216">
        <f t="shared" ref="AD2:AD10" si="0">SUM(H2:AC2)</f>
        <v>47</v>
      </c>
    </row>
    <row r="3" ht="28" customHeight="1" spans="1:30">
      <c r="A3" s="220"/>
      <c r="B3" s="220"/>
      <c r="C3" s="221"/>
      <c r="D3" s="222">
        <v>15</v>
      </c>
      <c r="E3" s="223"/>
      <c r="F3" s="224"/>
      <c r="G3" s="225"/>
      <c r="H3" s="226"/>
      <c r="I3" s="226">
        <v>15</v>
      </c>
      <c r="J3" s="226"/>
      <c r="K3" s="226"/>
      <c r="L3" s="226"/>
      <c r="M3" s="226"/>
      <c r="N3" s="226"/>
      <c r="O3" s="226"/>
      <c r="P3" s="226"/>
      <c r="Q3" s="226"/>
      <c r="R3" s="226"/>
      <c r="S3" s="226"/>
      <c r="T3" s="226"/>
      <c r="U3" s="226"/>
      <c r="V3" s="226"/>
      <c r="W3" s="226"/>
      <c r="X3" s="226"/>
      <c r="Y3" s="226"/>
      <c r="Z3" s="227"/>
      <c r="AA3" s="226"/>
      <c r="AB3" s="226"/>
      <c r="AC3" s="226"/>
      <c r="AD3" s="216">
        <f t="shared" si="0"/>
        <v>15</v>
      </c>
    </row>
    <row r="4" ht="33" customHeight="1" spans="1:30">
      <c r="A4" s="220" t="s">
        <v>310</v>
      </c>
      <c r="B4" s="220" t="s">
        <v>311</v>
      </c>
      <c r="C4" s="221">
        <v>2320</v>
      </c>
      <c r="D4" s="222"/>
      <c r="E4" s="223"/>
      <c r="F4" s="224"/>
      <c r="G4" s="225">
        <v>2991</v>
      </c>
      <c r="H4" s="226">
        <v>2300</v>
      </c>
      <c r="I4" s="226"/>
      <c r="J4" s="226"/>
      <c r="K4" s="226"/>
      <c r="L4" s="226"/>
      <c r="M4" s="226"/>
      <c r="N4" s="226"/>
      <c r="O4" s="226"/>
      <c r="P4" s="226"/>
      <c r="Q4" s="226"/>
      <c r="R4" s="226"/>
      <c r="S4" s="226">
        <v>20</v>
      </c>
      <c r="T4" s="226"/>
      <c r="U4" s="226"/>
      <c r="V4" s="226"/>
      <c r="W4" s="226"/>
      <c r="X4" s="226"/>
      <c r="Y4" s="226"/>
      <c r="Z4" s="227"/>
      <c r="AA4" s="226"/>
      <c r="AB4" s="226"/>
      <c r="AC4" s="226"/>
      <c r="AD4" s="216">
        <f t="shared" si="0"/>
        <v>2320</v>
      </c>
    </row>
    <row r="5" ht="33" customHeight="1" spans="1:30">
      <c r="A5" s="220"/>
      <c r="B5" s="220"/>
      <c r="C5" s="221"/>
      <c r="D5" s="222">
        <v>671</v>
      </c>
      <c r="E5" s="223"/>
      <c r="F5" s="224"/>
      <c r="G5" s="225"/>
      <c r="H5" s="226">
        <v>615</v>
      </c>
      <c r="I5" s="226"/>
      <c r="J5" s="226">
        <v>29</v>
      </c>
      <c r="K5" s="226">
        <v>21</v>
      </c>
      <c r="L5" s="226"/>
      <c r="M5" s="226"/>
      <c r="N5" s="226"/>
      <c r="O5" s="226"/>
      <c r="P5" s="226"/>
      <c r="Q5" s="226"/>
      <c r="R5" s="226"/>
      <c r="S5" s="226">
        <v>6</v>
      </c>
      <c r="T5" s="226"/>
      <c r="U5" s="226"/>
      <c r="V5" s="226"/>
      <c r="W5" s="226"/>
      <c r="X5" s="226"/>
      <c r="Y5" s="226"/>
      <c r="Z5" s="227"/>
      <c r="AA5" s="226"/>
      <c r="AB5" s="226"/>
      <c r="AC5" s="226"/>
      <c r="AD5" s="216">
        <f t="shared" si="0"/>
        <v>671</v>
      </c>
    </row>
    <row r="6" ht="44" customHeight="1" spans="1:30">
      <c r="A6" s="228" t="s">
        <v>312</v>
      </c>
      <c r="B6" s="220" t="s">
        <v>313</v>
      </c>
      <c r="C6" s="221"/>
      <c r="D6" s="222"/>
      <c r="E6" s="223">
        <v>987</v>
      </c>
      <c r="F6" s="224"/>
      <c r="G6" s="225">
        <v>987</v>
      </c>
      <c r="H6" s="226">
        <f>938-91.1715</f>
        <v>846.8285</v>
      </c>
      <c r="I6" s="226"/>
      <c r="J6" s="226"/>
      <c r="K6" s="226"/>
      <c r="L6" s="226"/>
      <c r="M6" s="226"/>
      <c r="N6" s="226"/>
      <c r="O6" s="226"/>
      <c r="P6" s="226"/>
      <c r="Q6" s="226">
        <v>40</v>
      </c>
      <c r="R6" s="226"/>
      <c r="S6" s="226">
        <v>9</v>
      </c>
      <c r="T6" s="226"/>
      <c r="U6" s="226"/>
      <c r="V6" s="226"/>
      <c r="W6" s="226"/>
      <c r="X6" s="226"/>
      <c r="Y6" s="226">
        <v>91.1715</v>
      </c>
      <c r="Z6" s="227"/>
      <c r="AA6" s="226"/>
      <c r="AB6" s="226"/>
      <c r="AC6" s="226"/>
      <c r="AD6" s="216">
        <f t="shared" si="0"/>
        <v>987</v>
      </c>
    </row>
    <row r="7" ht="31" customHeight="1" spans="1:30">
      <c r="A7" s="220" t="s">
        <v>314</v>
      </c>
      <c r="B7" s="220" t="s">
        <v>315</v>
      </c>
      <c r="C7" s="221">
        <v>424</v>
      </c>
      <c r="D7" s="222"/>
      <c r="E7" s="223"/>
      <c r="F7" s="224"/>
      <c r="G7" s="225">
        <v>784</v>
      </c>
      <c r="H7" s="226">
        <f>418</f>
        <v>418</v>
      </c>
      <c r="I7" s="226"/>
      <c r="J7" s="226"/>
      <c r="K7" s="226"/>
      <c r="L7" s="226"/>
      <c r="M7" s="226"/>
      <c r="N7" s="226"/>
      <c r="O7" s="226"/>
      <c r="P7" s="226"/>
      <c r="Q7" s="226"/>
      <c r="R7" s="226"/>
      <c r="S7" s="226"/>
      <c r="T7" s="226"/>
      <c r="U7" s="226">
        <f>50-50</f>
        <v>0</v>
      </c>
      <c r="V7" s="226">
        <f t="shared" ref="V7:X7" si="1">20-20</f>
        <v>0</v>
      </c>
      <c r="W7" s="226">
        <f t="shared" si="1"/>
        <v>0</v>
      </c>
      <c r="X7" s="226">
        <f t="shared" si="1"/>
        <v>0</v>
      </c>
      <c r="Y7" s="226">
        <f>308-308</f>
        <v>0</v>
      </c>
      <c r="Z7" s="227">
        <v>6</v>
      </c>
      <c r="AA7" s="226"/>
      <c r="AB7" s="226"/>
      <c r="AC7" s="226"/>
      <c r="AD7" s="216">
        <f t="shared" si="0"/>
        <v>424</v>
      </c>
    </row>
    <row r="8" ht="31" customHeight="1" spans="1:30">
      <c r="A8" s="220"/>
      <c r="B8" s="220"/>
      <c r="C8" s="221"/>
      <c r="D8" s="222">
        <v>360</v>
      </c>
      <c r="E8" s="223"/>
      <c r="F8" s="224"/>
      <c r="G8" s="225"/>
      <c r="H8" s="226">
        <v>96.9421</v>
      </c>
      <c r="I8" s="226"/>
      <c r="J8" s="226"/>
      <c r="K8" s="226"/>
      <c r="L8" s="226"/>
      <c r="M8" s="226"/>
      <c r="N8" s="226">
        <v>50</v>
      </c>
      <c r="O8" s="226"/>
      <c r="P8" s="226"/>
      <c r="Q8" s="226"/>
      <c r="R8" s="226"/>
      <c r="S8" s="226"/>
      <c r="T8" s="226">
        <v>50</v>
      </c>
      <c r="U8" s="226"/>
      <c r="V8" s="226"/>
      <c r="W8" s="226"/>
      <c r="X8" s="226"/>
      <c r="Y8" s="226">
        <f>310-146.9421-163.0579</f>
        <v>0</v>
      </c>
      <c r="Z8" s="227"/>
      <c r="AA8" s="226">
        <v>163.0579</v>
      </c>
      <c r="AB8" s="226"/>
      <c r="AC8" s="226"/>
      <c r="AD8" s="216">
        <f t="shared" si="0"/>
        <v>360</v>
      </c>
    </row>
    <row r="9" ht="58" customHeight="1" spans="1:30">
      <c r="A9" s="228" t="s">
        <v>316</v>
      </c>
      <c r="B9" s="220" t="s">
        <v>317</v>
      </c>
      <c r="C9" s="221"/>
      <c r="D9" s="222">
        <v>254</v>
      </c>
      <c r="E9" s="223"/>
      <c r="F9" s="224"/>
      <c r="G9" s="225">
        <v>254</v>
      </c>
      <c r="H9" s="226"/>
      <c r="I9" s="226"/>
      <c r="J9" s="226"/>
      <c r="K9" s="226"/>
      <c r="L9" s="226"/>
      <c r="M9" s="226"/>
      <c r="N9" s="226"/>
      <c r="O9" s="226"/>
      <c r="P9" s="226"/>
      <c r="Q9" s="226"/>
      <c r="R9" s="226"/>
      <c r="S9" s="226"/>
      <c r="T9" s="226"/>
      <c r="U9" s="226"/>
      <c r="V9" s="226"/>
      <c r="W9" s="226"/>
      <c r="X9" s="226"/>
      <c r="Y9" s="226"/>
      <c r="Z9" s="227"/>
      <c r="AA9" s="226">
        <v>251.46</v>
      </c>
      <c r="AB9" s="226">
        <f>251.46-251.46</f>
        <v>0</v>
      </c>
      <c r="AC9" s="226">
        <v>2.54</v>
      </c>
      <c r="AD9" s="216">
        <f t="shared" si="0"/>
        <v>254</v>
      </c>
    </row>
    <row r="10" ht="44" customHeight="1" spans="1:30">
      <c r="A10" s="228" t="s">
        <v>318</v>
      </c>
      <c r="B10" s="229" t="s">
        <v>319</v>
      </c>
      <c r="C10" s="221"/>
      <c r="D10" s="222"/>
      <c r="E10" s="223">
        <v>1045</v>
      </c>
      <c r="F10" s="224"/>
      <c r="G10" s="225">
        <v>1045</v>
      </c>
      <c r="H10" s="226"/>
      <c r="I10" s="226"/>
      <c r="J10" s="226"/>
      <c r="K10" s="226"/>
      <c r="L10" s="226"/>
      <c r="M10" s="226"/>
      <c r="N10" s="226"/>
      <c r="O10" s="226"/>
      <c r="P10" s="226"/>
      <c r="Q10" s="226"/>
      <c r="R10" s="226"/>
      <c r="S10" s="226"/>
      <c r="T10" s="226"/>
      <c r="U10" s="226"/>
      <c r="V10" s="226"/>
      <c r="W10" s="226"/>
      <c r="X10" s="226"/>
      <c r="Y10" s="226"/>
      <c r="Z10" s="227"/>
      <c r="AA10" s="226"/>
      <c r="AB10" s="226"/>
      <c r="AC10" s="226"/>
    </row>
    <row r="11" ht="30" customHeight="1" spans="1:30">
      <c r="A11" s="230" t="s">
        <v>320</v>
      </c>
      <c r="B11" s="231" t="s">
        <v>321</v>
      </c>
      <c r="C11" s="232"/>
      <c r="D11" s="233"/>
      <c r="E11" s="234"/>
      <c r="F11" s="235">
        <v>5890</v>
      </c>
      <c r="G11" s="236">
        <v>5890</v>
      </c>
      <c r="H11" s="226">
        <f>1347-423.7706</f>
        <v>923.2294</v>
      </c>
      <c r="I11" s="226"/>
      <c r="J11" s="226"/>
      <c r="K11" s="226"/>
      <c r="L11" s="226">
        <v>100</v>
      </c>
      <c r="M11" s="226">
        <v>10</v>
      </c>
      <c r="N11" s="226">
        <f>60-50</f>
        <v>10</v>
      </c>
      <c r="O11" s="226">
        <v>60</v>
      </c>
      <c r="P11" s="226">
        <v>180</v>
      </c>
      <c r="Q11" s="226"/>
      <c r="R11" s="226">
        <v>30</v>
      </c>
      <c r="S11" s="226">
        <v>25</v>
      </c>
      <c r="T11" s="226"/>
      <c r="U11" s="226">
        <v>50</v>
      </c>
      <c r="V11" s="226">
        <v>20</v>
      </c>
      <c r="W11" s="226">
        <v>20</v>
      </c>
      <c r="X11" s="226">
        <v>20</v>
      </c>
      <c r="Y11" s="226">
        <f>1382+363.7706+163.0579</f>
        <v>1908.8285</v>
      </c>
      <c r="Z11" s="227"/>
      <c r="AA11" s="226">
        <f>2696-251.46-163.0579</f>
        <v>2281.4821</v>
      </c>
      <c r="AB11" s="226">
        <v>251.46</v>
      </c>
      <c r="AC11" s="226"/>
      <c r="AD11" s="216">
        <f>SUM(H11:AC11)</f>
        <v>5890</v>
      </c>
    </row>
    <row r="12" ht="33" customHeight="1" spans="1:30">
      <c r="C12" s="217">
        <f>SUM(C2:C11)</f>
        <v>2791</v>
      </c>
      <c r="D12" s="217">
        <f>SUM(D3:D11)</f>
        <v>1300</v>
      </c>
      <c r="E12" s="217">
        <f t="shared" ref="E12:Q12" si="2">SUM(E2:E11)</f>
        <v>2032</v>
      </c>
      <c r="F12" s="217">
        <f t="shared" si="2"/>
        <v>5890</v>
      </c>
      <c r="G12" s="216">
        <f t="shared" si="2"/>
        <v>12013</v>
      </c>
      <c r="H12" s="237">
        <f t="shared" si="2"/>
        <v>5200</v>
      </c>
      <c r="I12" s="237">
        <f t="shared" si="2"/>
        <v>62</v>
      </c>
      <c r="J12" s="237">
        <f t="shared" si="2"/>
        <v>29</v>
      </c>
      <c r="K12" s="237">
        <f t="shared" si="2"/>
        <v>21</v>
      </c>
      <c r="L12" s="237">
        <f t="shared" si="2"/>
        <v>100</v>
      </c>
      <c r="M12" s="237">
        <f t="shared" si="2"/>
        <v>10</v>
      </c>
      <c r="N12" s="237">
        <f t="shared" si="2"/>
        <v>60</v>
      </c>
      <c r="O12" s="237">
        <f t="shared" si="2"/>
        <v>60</v>
      </c>
      <c r="P12" s="237">
        <f t="shared" si="2"/>
        <v>180</v>
      </c>
      <c r="Q12" s="237">
        <f t="shared" si="2"/>
        <v>40</v>
      </c>
      <c r="R12" s="237">
        <f t="shared" ref="Q12:AC12" si="3">SUM(R2:R11)</f>
        <v>30</v>
      </c>
      <c r="S12" s="237">
        <f t="shared" si="3"/>
        <v>60</v>
      </c>
      <c r="T12" s="237">
        <f t="shared" si="3"/>
        <v>50</v>
      </c>
      <c r="U12" s="237">
        <f t="shared" si="3"/>
        <v>50</v>
      </c>
      <c r="V12" s="237">
        <f t="shared" si="3"/>
        <v>20</v>
      </c>
      <c r="W12" s="237">
        <f t="shared" si="3"/>
        <v>20</v>
      </c>
      <c r="X12" s="237">
        <f t="shared" si="3"/>
        <v>20</v>
      </c>
      <c r="Y12" s="237">
        <f t="shared" si="3"/>
        <v>2000</v>
      </c>
      <c r="Z12" s="237">
        <f t="shared" si="3"/>
        <v>6</v>
      </c>
      <c r="AA12" s="237">
        <f t="shared" si="3"/>
        <v>2696</v>
      </c>
      <c r="AB12" s="237">
        <f t="shared" si="3"/>
        <v>251.46</v>
      </c>
      <c r="AC12" s="237">
        <f t="shared" si="3"/>
        <v>2.54</v>
      </c>
    </row>
    <row r="16" ht="38" customHeight="1"/>
  </sheetData>
  <mergeCells count="9">
    <mergeCell ref="A2:A3"/>
    <mergeCell ref="A4:A5"/>
    <mergeCell ref="A7:A8"/>
    <mergeCell ref="B2:B3"/>
    <mergeCell ref="B4:B5"/>
    <mergeCell ref="B7:B8"/>
    <mergeCell ref="G2:G3"/>
    <mergeCell ref="G4:G5"/>
    <mergeCell ref="G7:G8"/>
  </mergeCells>
  <pageMargins left="0.118055555555556" right="0.118055555555556" top="1" bottom="1" header="0.511805555555556" footer="0.511805555555556"/>
  <pageSetup paperSize="9" scale="61" orientation="landscape"/>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A18" sqref="A18:F31"/>
    </sheetView>
  </sheetViews>
  <sheetFormatPr defaultColWidth="12.75" defaultRowHeight="34" customHeight="1"/>
  <cols>
    <col min="2" max="2" width="17.25" customWidth="1"/>
    <col min="3" max="8" width="12.75" customWidth="1"/>
    <col min="9" max="9" width="22" customWidth="1"/>
    <col min="10" max="16384" width="12.75" customWidth="1"/>
  </cols>
  <sheetData>
    <row r="1" s="134" customFormat="1" customHeight="1" spans="1:11">
      <c r="A1" s="201"/>
      <c r="B1" s="201"/>
      <c r="C1" s="201" t="s">
        <v>31</v>
      </c>
      <c r="D1" s="201" t="s">
        <v>322</v>
      </c>
      <c r="E1" s="201" t="s">
        <v>323</v>
      </c>
      <c r="F1" s="201" t="s">
        <v>324</v>
      </c>
      <c r="G1" s="134" t="s">
        <v>285</v>
      </c>
    </row>
    <row r="2" s="134" customFormat="1" customHeight="1" spans="1:11">
      <c r="A2" s="201"/>
      <c r="B2" s="201"/>
      <c r="C2" s="201">
        <v>2791</v>
      </c>
      <c r="D2" s="201">
        <f>1046+254</f>
        <v>1300</v>
      </c>
      <c r="E2" s="201">
        <v>987</v>
      </c>
      <c r="F2" s="201"/>
      <c r="I2" s="202" t="s">
        <v>325</v>
      </c>
      <c r="J2" s="201" t="s">
        <v>37</v>
      </c>
      <c r="K2" s="201" t="s">
        <v>38</v>
      </c>
    </row>
    <row r="3" customHeight="1" spans="1:11">
      <c r="A3" s="203">
        <v>45834</v>
      </c>
      <c r="B3" s="155" t="s">
        <v>326</v>
      </c>
      <c r="C3" s="155">
        <v>11473023</v>
      </c>
      <c r="D3" s="155">
        <v>2570817</v>
      </c>
      <c r="E3" s="155"/>
      <c r="F3" s="155"/>
      <c r="G3">
        <f>SUM(C3:F3)</f>
        <v>14043840</v>
      </c>
      <c r="I3" s="204" t="s">
        <v>327</v>
      </c>
      <c r="J3" s="201">
        <v>2791</v>
      </c>
      <c r="K3" s="201">
        <v>1300</v>
      </c>
    </row>
    <row r="4" customHeight="1" spans="1:11">
      <c r="A4" s="203">
        <v>45834</v>
      </c>
      <c r="B4" s="155" t="s">
        <v>328</v>
      </c>
      <c r="C4" s="155">
        <v>11526977</v>
      </c>
      <c r="D4" s="155">
        <v>3579183</v>
      </c>
      <c r="E4" s="155">
        <v>1124067</v>
      </c>
      <c r="F4" s="155">
        <v>1090553</v>
      </c>
      <c r="G4">
        <f t="shared" ref="G4:G11" si="0">SUM(C4:F4)</f>
        <v>17320780</v>
      </c>
      <c r="I4" s="204" t="s">
        <v>329</v>
      </c>
      <c r="J4" s="201">
        <v>2718</v>
      </c>
      <c r="K4" s="201">
        <v>758.2921</v>
      </c>
    </row>
    <row r="5" customHeight="1" spans="1:11">
      <c r="A5" s="203">
        <v>45869</v>
      </c>
      <c r="B5" s="155" t="s">
        <v>330</v>
      </c>
      <c r="C5" s="155">
        <v>4180000</v>
      </c>
      <c r="D5" s="155"/>
      <c r="E5" s="155"/>
      <c r="F5" s="155"/>
      <c r="G5">
        <f t="shared" si="0"/>
        <v>4180000</v>
      </c>
      <c r="I5" s="205" t="s">
        <v>331</v>
      </c>
      <c r="J5" s="206">
        <v>20</v>
      </c>
      <c r="K5" s="206">
        <v>439.8739</v>
      </c>
    </row>
    <row r="6" customHeight="1" spans="1:11">
      <c r="A6" s="203">
        <v>45898</v>
      </c>
      <c r="B6" s="155" t="s">
        <v>295</v>
      </c>
      <c r="C6" s="155"/>
      <c r="D6" s="155">
        <v>463500</v>
      </c>
      <c r="E6" s="155"/>
      <c r="F6" s="155"/>
      <c r="G6">
        <f t="shared" si="0"/>
        <v>463500</v>
      </c>
      <c r="I6" s="201" t="s">
        <v>332</v>
      </c>
      <c r="J6" s="207">
        <f>+(J4+J5)/J3</f>
        <v>0.981010390541025</v>
      </c>
      <c r="K6" s="207">
        <f>+(K4+K5)/K3</f>
        <v>0.921666153846154</v>
      </c>
    </row>
    <row r="7" customHeight="1" spans="1:11">
      <c r="A7" s="203">
        <v>45958</v>
      </c>
      <c r="B7" s="155" t="s">
        <v>330</v>
      </c>
      <c r="C7" s="155"/>
      <c r="D7" s="155">
        <v>969421</v>
      </c>
      <c r="E7" s="155"/>
      <c r="F7" s="155"/>
      <c r="G7">
        <f t="shared" si="0"/>
        <v>969421</v>
      </c>
      <c r="I7" s="208">
        <v>45960</v>
      </c>
    </row>
    <row r="8" customHeight="1" spans="1:11">
      <c r="A8" s="203">
        <v>45960</v>
      </c>
      <c r="B8" s="155" t="s">
        <v>333</v>
      </c>
      <c r="C8" s="155"/>
      <c r="D8" s="155">
        <f>2514600+1630579</f>
        <v>4145179</v>
      </c>
      <c r="E8" s="155"/>
      <c r="F8" s="155"/>
      <c r="G8">
        <f t="shared" si="0"/>
        <v>4145179</v>
      </c>
      <c r="I8" s="209" t="s">
        <v>334</v>
      </c>
      <c r="J8" s="201" t="s">
        <v>37</v>
      </c>
      <c r="K8" s="201" t="s">
        <v>38</v>
      </c>
    </row>
    <row r="9" customHeight="1" spans="1:11">
      <c r="A9" s="203">
        <v>45960</v>
      </c>
      <c r="B9" s="155" t="s">
        <v>292</v>
      </c>
      <c r="C9" s="155"/>
      <c r="D9" s="155">
        <v>193560</v>
      </c>
      <c r="E9" s="155"/>
      <c r="F9" s="155"/>
      <c r="G9">
        <f t="shared" si="0"/>
        <v>193560</v>
      </c>
      <c r="I9" s="210" t="s">
        <v>335</v>
      </c>
      <c r="J9" s="201"/>
      <c r="K9" s="201">
        <v>414.5179</v>
      </c>
    </row>
    <row r="10" customHeight="1" spans="1:11">
      <c r="A10" s="203">
        <v>45960</v>
      </c>
      <c r="B10" s="155" t="s">
        <v>336</v>
      </c>
      <c r="C10" s="155">
        <v>160000</v>
      </c>
      <c r="D10" s="155"/>
      <c r="E10" s="155"/>
      <c r="F10" s="155"/>
      <c r="G10">
        <f t="shared" si="0"/>
        <v>160000</v>
      </c>
      <c r="I10" s="210" t="s">
        <v>337</v>
      </c>
      <c r="J10" s="201"/>
      <c r="K10" s="201">
        <v>19.356</v>
      </c>
    </row>
    <row r="11" customHeight="1" spans="1:11">
      <c r="A11" s="203">
        <v>45960</v>
      </c>
      <c r="B11" s="155" t="s">
        <v>338</v>
      </c>
      <c r="C11" s="155">
        <v>40000</v>
      </c>
      <c r="D11" s="155">
        <v>60000</v>
      </c>
      <c r="E11" s="155"/>
      <c r="F11" s="155"/>
      <c r="G11">
        <f t="shared" si="0"/>
        <v>100000</v>
      </c>
      <c r="I11" s="210" t="s">
        <v>339</v>
      </c>
      <c r="J11" s="201">
        <v>16</v>
      </c>
      <c r="K11" s="201"/>
    </row>
    <row r="12" customHeight="1" spans="1:11">
      <c r="A12" s="208">
        <v>45965</v>
      </c>
      <c r="B12" t="s">
        <v>340</v>
      </c>
      <c r="C12">
        <v>291530</v>
      </c>
      <c r="I12" s="210"/>
      <c r="J12" s="201"/>
      <c r="K12" s="201"/>
    </row>
    <row r="13" customHeight="1" spans="1:11">
      <c r="A13" s="208">
        <v>45988</v>
      </c>
      <c r="B13" t="s">
        <v>341</v>
      </c>
      <c r="C13">
        <v>60000</v>
      </c>
      <c r="F13">
        <v>430000</v>
      </c>
      <c r="G13">
        <f>SUM(C13:F13)</f>
        <v>490000</v>
      </c>
      <c r="I13" s="210"/>
      <c r="J13" s="201"/>
      <c r="K13" s="201"/>
    </row>
    <row r="14" customHeight="1" spans="1:11">
      <c r="A14" s="208">
        <v>45988</v>
      </c>
      <c r="B14" t="s">
        <v>296</v>
      </c>
      <c r="F14">
        <v>391500</v>
      </c>
      <c r="G14">
        <f>SUM(C14:F14)</f>
        <v>391500</v>
      </c>
      <c r="I14" s="210"/>
      <c r="J14" s="201"/>
      <c r="K14" s="201"/>
    </row>
    <row r="15" customHeight="1" spans="1:11">
      <c r="B15" s="211" t="s">
        <v>342</v>
      </c>
      <c r="C15" s="211">
        <f>SUM(C3:C14)</f>
        <v>27731530</v>
      </c>
      <c r="D15" s="211">
        <f>SUM(D3:D14)</f>
        <v>11981660</v>
      </c>
      <c r="E15" s="211">
        <f>SUM(E3:E14)</f>
        <v>1124067</v>
      </c>
      <c r="F15" s="211">
        <f>SUM(F3:F14)</f>
        <v>1912053</v>
      </c>
      <c r="I15" s="210" t="s">
        <v>343</v>
      </c>
      <c r="J15" s="201">
        <v>4</v>
      </c>
      <c r="K15" s="201">
        <v>6</v>
      </c>
    </row>
    <row r="16" customHeight="1" spans="1:11">
      <c r="I16" s="201" t="s">
        <v>30</v>
      </c>
      <c r="J16" s="201">
        <v>20</v>
      </c>
      <c r="K16" s="201">
        <f>SUM(K9:K15)</f>
        <v>439.8739</v>
      </c>
    </row>
    <row r="17" customHeight="1" spans="1:6">
      <c r="C17" s="212">
        <f>+C15/10000/C2</f>
        <v>0.993605517735579</v>
      </c>
      <c r="D17" s="212">
        <f>+D15/10000/D2</f>
        <v>0.921666153846154</v>
      </c>
    </row>
    <row r="18" customHeight="1" spans="1:6">
      <c r="A18" s="201"/>
      <c r="B18" s="201" t="s">
        <v>31</v>
      </c>
      <c r="C18" s="201" t="s">
        <v>322</v>
      </c>
      <c r="D18" s="201" t="s">
        <v>323</v>
      </c>
      <c r="E18" s="201" t="s">
        <v>324</v>
      </c>
      <c r="F18" s="201" t="s">
        <v>285</v>
      </c>
    </row>
    <row r="19" customHeight="1" spans="1:6">
      <c r="A19" s="201" t="s">
        <v>344</v>
      </c>
      <c r="B19" s="201">
        <f>+资金文!C12</f>
        <v>2791</v>
      </c>
      <c r="C19" s="201">
        <f>+资金文!D12</f>
        <v>1300</v>
      </c>
      <c r="D19" s="201">
        <f>+资金文!E12</f>
        <v>2032</v>
      </c>
      <c r="E19" s="201">
        <f>+资金文!F12</f>
        <v>5890</v>
      </c>
      <c r="F19" s="201">
        <f>SUM(B19:E19)</f>
        <v>12013</v>
      </c>
    </row>
    <row r="20" customHeight="1" spans="1:6">
      <c r="A20" s="201" t="s">
        <v>345</v>
      </c>
      <c r="B20" s="201">
        <f>+C15/10000</f>
        <v>2773.153</v>
      </c>
      <c r="C20" s="201">
        <f>+D15/10000</f>
        <v>1198.166</v>
      </c>
      <c r="D20" s="201">
        <f>+E15/10000</f>
        <v>112.4067</v>
      </c>
      <c r="E20" s="201">
        <f>+F15/10000</f>
        <v>191.2053</v>
      </c>
      <c r="F20" s="201">
        <f>SUM(B20:E20)</f>
        <v>4274.931</v>
      </c>
    </row>
    <row r="21" s="200" customFormat="1" customHeight="1" spans="1:6">
      <c r="A21" s="213" t="s">
        <v>346</v>
      </c>
      <c r="B21" s="213">
        <f>+B20/B19</f>
        <v>0.993605517735579</v>
      </c>
      <c r="C21" s="213">
        <f>+C20/C19</f>
        <v>0.921666153846154</v>
      </c>
      <c r="D21" s="213">
        <f>+D20/D19</f>
        <v>0.0553182578740158</v>
      </c>
      <c r="E21" s="213">
        <f>+E20/E19</f>
        <v>0.0324626994906621</v>
      </c>
      <c r="F21" s="213">
        <f>+F20/F19</f>
        <v>0.355858736368934</v>
      </c>
    </row>
    <row r="22" customHeight="1" spans="1:6">
      <c r="A22" s="201" t="s">
        <v>347</v>
      </c>
      <c r="B22" s="201">
        <f>+B19-B20</f>
        <v>17.8470000000002</v>
      </c>
      <c r="C22" s="201">
        <f>+C19-C20</f>
        <v>101.834</v>
      </c>
      <c r="D22" s="201">
        <f>+D19-D20</f>
        <v>1919.5933</v>
      </c>
      <c r="E22" s="201">
        <f>+E19-E20</f>
        <v>5698.7947</v>
      </c>
      <c r="F22" s="201">
        <f>SUM(B22:E22)</f>
        <v>7738.069</v>
      </c>
    </row>
    <row r="23" customHeight="1" spans="1:6">
      <c r="B23">
        <f>+B22*10000</f>
        <v>178470.000000002</v>
      </c>
      <c r="C23">
        <v>1018340</v>
      </c>
    </row>
    <row r="25" customHeight="1" spans="1:6">
      <c r="A25" t="s">
        <v>348</v>
      </c>
      <c r="B25">
        <v>178470</v>
      </c>
      <c r="C25">
        <v>150000</v>
      </c>
    </row>
    <row r="26" customHeight="1" spans="1:6">
      <c r="A26" t="s">
        <v>349</v>
      </c>
      <c r="C26">
        <v>290000</v>
      </c>
    </row>
    <row r="27" customHeight="1" spans="1:6">
      <c r="A27" t="s">
        <v>213</v>
      </c>
      <c r="C27">
        <v>25400</v>
      </c>
    </row>
    <row r="28" customHeight="1" spans="1:6">
      <c r="A28" t="s">
        <v>350</v>
      </c>
      <c r="C28">
        <v>36500</v>
      </c>
    </row>
    <row r="29" customHeight="1" spans="1:6">
      <c r="A29" t="s">
        <v>351</v>
      </c>
      <c r="C29">
        <f>210000-193560</f>
        <v>16440</v>
      </c>
    </row>
    <row r="30" customHeight="1" spans="1:6">
      <c r="A30" t="s">
        <v>352</v>
      </c>
      <c r="C30">
        <v>500000</v>
      </c>
    </row>
    <row r="31" customHeight="1" spans="1:6">
      <c r="B31">
        <f>SUM(B25:B30)</f>
        <v>178470</v>
      </c>
      <c r="C31">
        <f>SUM(C25:C30)</f>
        <v>1018340</v>
      </c>
    </row>
  </sheetData>
  <pageMargins left="0.75" right="0.75" top="1" bottom="1" header="0.511805555555556" footer="0.511805555555556"/>
  <pageSetup paperSize="9" scale="9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1"/>
  <sheetViews>
    <sheetView workbookViewId="0">
      <pane xSplit="2" ySplit="3" topLeftCell="C49" activePane="bottomRight" state="frozen"/>
      <selection/>
      <selection pane="topRight"/>
      <selection pane="bottomLeft"/>
      <selection pane="bottomRight" activeCell="M52" sqref="M52"/>
    </sheetView>
  </sheetViews>
  <sheetFormatPr defaultColWidth="9" defaultRowHeight="24" customHeight="1"/>
  <cols>
    <col min="1" max="1" width="7.25" style="134" customWidth="1"/>
    <col min="2" max="2" width="35.375" customWidth="1"/>
    <col min="3" max="4" width="9.375"/>
    <col min="7" max="7" width="9.375"/>
    <col min="8" max="11" width="10.875" customWidth="1"/>
    <col min="13" max="13" width="11.125"/>
    <col min="14" max="14" width="9.375"/>
    <col min="15" max="16" width="11.125"/>
    <col min="17" max="17" width="9.375"/>
    <col min="18" max="18" width="9" hidden="1" customWidth="1"/>
  </cols>
  <sheetData>
    <row r="1" ht="57" customHeight="1" spans="1:18">
      <c r="A1" s="136" t="s">
        <v>353</v>
      </c>
      <c r="B1" s="136"/>
      <c r="C1" s="136"/>
      <c r="D1" s="136"/>
      <c r="E1" s="136"/>
      <c r="F1" s="136"/>
      <c r="G1" s="136"/>
      <c r="H1" s="136"/>
      <c r="I1" s="136"/>
      <c r="J1" s="136"/>
      <c r="K1" s="136"/>
      <c r="L1" s="136"/>
      <c r="M1" s="136"/>
      <c r="N1" s="136"/>
      <c r="O1" s="136"/>
      <c r="P1" s="136"/>
    </row>
    <row r="2" customHeight="1" spans="1:18">
      <c r="A2" s="137" t="s">
        <v>2</v>
      </c>
      <c r="B2" s="49" t="s">
        <v>5</v>
      </c>
      <c r="C2" s="138" t="s">
        <v>354</v>
      </c>
      <c r="D2" s="139"/>
      <c r="E2" s="139"/>
      <c r="F2" s="139"/>
      <c r="G2" s="140"/>
      <c r="H2" s="141" t="s">
        <v>355</v>
      </c>
      <c r="I2" s="142"/>
      <c r="J2" s="142"/>
      <c r="K2" s="143"/>
      <c r="L2" s="144" t="s">
        <v>356</v>
      </c>
      <c r="M2" s="145"/>
      <c r="N2" s="145"/>
      <c r="O2" s="145"/>
      <c r="P2" s="146"/>
    </row>
    <row r="3" customHeight="1" spans="1:18">
      <c r="A3" s="137"/>
      <c r="B3" s="49"/>
      <c r="C3" s="147" t="s">
        <v>285</v>
      </c>
      <c r="D3" s="12" t="s">
        <v>37</v>
      </c>
      <c r="E3" s="12" t="s">
        <v>38</v>
      </c>
      <c r="F3" s="12" t="s">
        <v>39</v>
      </c>
      <c r="G3" s="148" t="s">
        <v>357</v>
      </c>
      <c r="H3" s="147" t="s">
        <v>37</v>
      </c>
      <c r="I3" s="12" t="s">
        <v>38</v>
      </c>
      <c r="J3" s="12" t="s">
        <v>39</v>
      </c>
      <c r="K3" s="148" t="s">
        <v>357</v>
      </c>
      <c r="L3" s="147" t="s">
        <v>285</v>
      </c>
      <c r="M3" s="12" t="s">
        <v>37</v>
      </c>
      <c r="N3" s="12" t="s">
        <v>38</v>
      </c>
      <c r="O3" s="12" t="s">
        <v>39</v>
      </c>
      <c r="P3" s="148" t="s">
        <v>357</v>
      </c>
    </row>
    <row r="4" customHeight="1" spans="1:18">
      <c r="A4" s="149">
        <v>1</v>
      </c>
      <c r="B4" s="161" t="s">
        <v>358</v>
      </c>
      <c r="C4" s="162">
        <v>80</v>
      </c>
      <c r="D4" s="163">
        <v>45</v>
      </c>
      <c r="E4" s="163"/>
      <c r="F4" s="163">
        <v>30</v>
      </c>
      <c r="G4" s="164">
        <v>5</v>
      </c>
      <c r="H4" s="165">
        <v>5</v>
      </c>
      <c r="I4" s="157">
        <v>2.9616</v>
      </c>
      <c r="J4" s="157">
        <v>-2.9616</v>
      </c>
      <c r="K4" s="166">
        <v>-5</v>
      </c>
      <c r="L4" s="167">
        <f t="shared" ref="L4:L56" si="0">+M4+N4+O4+P4</f>
        <v>80</v>
      </c>
      <c r="M4" s="151">
        <f t="shared" ref="M4:M56" si="1">+D4+H4</f>
        <v>50</v>
      </c>
      <c r="N4" s="151">
        <f t="shared" ref="N4:N33" si="2">+E4+I4</f>
        <v>2.9616</v>
      </c>
      <c r="O4" s="151">
        <f t="shared" ref="O4:O33" si="3">+F4+J4</f>
        <v>27.0384</v>
      </c>
      <c r="P4" s="168"/>
      <c r="R4">
        <v>10000</v>
      </c>
    </row>
    <row r="5" customHeight="1" spans="1:18">
      <c r="A5" s="149">
        <v>2</v>
      </c>
      <c r="B5" s="161" t="s">
        <v>359</v>
      </c>
      <c r="C5" s="162">
        <v>80</v>
      </c>
      <c r="D5" s="163">
        <v>45</v>
      </c>
      <c r="E5" s="163"/>
      <c r="F5" s="163">
        <v>30</v>
      </c>
      <c r="G5" s="164">
        <v>5</v>
      </c>
      <c r="H5" s="165">
        <v>5</v>
      </c>
      <c r="I5" s="157">
        <v>2.9616</v>
      </c>
      <c r="J5" s="157">
        <v>-2.9616</v>
      </c>
      <c r="K5" s="166">
        <v>-5</v>
      </c>
      <c r="L5" s="167">
        <f t="shared" si="0"/>
        <v>80</v>
      </c>
      <c r="M5" s="151">
        <f t="shared" si="1"/>
        <v>50</v>
      </c>
      <c r="N5" s="151">
        <f t="shared" si="2"/>
        <v>2.9616</v>
      </c>
      <c r="O5" s="151">
        <f t="shared" si="3"/>
        <v>27.0384</v>
      </c>
      <c r="P5" s="168"/>
      <c r="R5">
        <v>10000</v>
      </c>
    </row>
    <row r="6" customHeight="1" spans="1:18">
      <c r="A6" s="149">
        <v>3</v>
      </c>
      <c r="B6" s="161" t="s">
        <v>360</v>
      </c>
      <c r="C6" s="162">
        <v>80</v>
      </c>
      <c r="D6" s="163">
        <v>45</v>
      </c>
      <c r="E6" s="163"/>
      <c r="F6" s="163">
        <v>30</v>
      </c>
      <c r="G6" s="164">
        <v>5</v>
      </c>
      <c r="H6" s="165">
        <v>5</v>
      </c>
      <c r="I6" s="157">
        <v>2.9772</v>
      </c>
      <c r="J6" s="157">
        <v>-2.9772</v>
      </c>
      <c r="K6" s="166">
        <v>-5</v>
      </c>
      <c r="L6" s="167">
        <f t="shared" si="0"/>
        <v>80</v>
      </c>
      <c r="M6" s="151">
        <f t="shared" si="1"/>
        <v>50</v>
      </c>
      <c r="N6" s="151">
        <f t="shared" si="2"/>
        <v>2.9772</v>
      </c>
      <c r="O6" s="151">
        <f t="shared" si="3"/>
        <v>27.0228</v>
      </c>
      <c r="P6" s="168"/>
      <c r="R6">
        <v>10000</v>
      </c>
    </row>
    <row r="7" customHeight="1" spans="1:18">
      <c r="A7" s="149">
        <v>4</v>
      </c>
      <c r="B7" s="161" t="s">
        <v>361</v>
      </c>
      <c r="C7" s="162">
        <v>160</v>
      </c>
      <c r="D7" s="163">
        <v>90</v>
      </c>
      <c r="E7" s="163"/>
      <c r="F7" s="163">
        <v>60</v>
      </c>
      <c r="G7" s="164">
        <v>10</v>
      </c>
      <c r="H7" s="165">
        <v>10</v>
      </c>
      <c r="I7" s="157">
        <v>5.9543</v>
      </c>
      <c r="J7" s="157">
        <v>-5.9543</v>
      </c>
      <c r="K7" s="166">
        <v>-10</v>
      </c>
      <c r="L7" s="167">
        <f t="shared" si="0"/>
        <v>160</v>
      </c>
      <c r="M7" s="151">
        <f t="shared" si="1"/>
        <v>100</v>
      </c>
      <c r="N7" s="151">
        <f t="shared" si="2"/>
        <v>5.9543</v>
      </c>
      <c r="O7" s="151">
        <f t="shared" si="3"/>
        <v>54.0457</v>
      </c>
      <c r="P7" s="168"/>
      <c r="R7">
        <v>10000</v>
      </c>
    </row>
    <row r="8" customHeight="1" spans="1:18">
      <c r="A8" s="149">
        <v>5</v>
      </c>
      <c r="B8" s="161" t="s">
        <v>362</v>
      </c>
      <c r="C8" s="162">
        <v>80</v>
      </c>
      <c r="D8" s="163">
        <v>45</v>
      </c>
      <c r="E8" s="163"/>
      <c r="F8" s="163">
        <v>30</v>
      </c>
      <c r="G8" s="164">
        <v>5</v>
      </c>
      <c r="H8" s="165">
        <v>5</v>
      </c>
      <c r="I8" s="157">
        <v>2.9149</v>
      </c>
      <c r="J8" s="157">
        <v>-2.9149</v>
      </c>
      <c r="K8" s="166">
        <v>-5</v>
      </c>
      <c r="L8" s="167">
        <f t="shared" si="0"/>
        <v>80</v>
      </c>
      <c r="M8" s="151">
        <f t="shared" si="1"/>
        <v>50</v>
      </c>
      <c r="N8" s="151">
        <f t="shared" si="2"/>
        <v>2.9149</v>
      </c>
      <c r="O8" s="151">
        <f t="shared" si="3"/>
        <v>27.0851</v>
      </c>
      <c r="P8" s="168"/>
      <c r="R8">
        <v>10000</v>
      </c>
    </row>
    <row r="9" customHeight="1" spans="1:18">
      <c r="A9" s="149">
        <v>6</v>
      </c>
      <c r="B9" s="161" t="s">
        <v>363</v>
      </c>
      <c r="C9" s="162">
        <v>80</v>
      </c>
      <c r="D9" s="163">
        <v>45</v>
      </c>
      <c r="E9" s="163"/>
      <c r="F9" s="163">
        <v>30</v>
      </c>
      <c r="G9" s="164">
        <v>5</v>
      </c>
      <c r="H9" s="165">
        <v>5</v>
      </c>
      <c r="I9" s="157">
        <v>2.9772</v>
      </c>
      <c r="J9" s="157">
        <v>-2.9772</v>
      </c>
      <c r="K9" s="166">
        <v>-5</v>
      </c>
      <c r="L9" s="167">
        <f t="shared" si="0"/>
        <v>80</v>
      </c>
      <c r="M9" s="151">
        <f t="shared" si="1"/>
        <v>50</v>
      </c>
      <c r="N9" s="151">
        <f t="shared" si="2"/>
        <v>2.9772</v>
      </c>
      <c r="O9" s="151">
        <f t="shared" si="3"/>
        <v>27.0228</v>
      </c>
      <c r="P9" s="168"/>
      <c r="R9">
        <v>10000</v>
      </c>
    </row>
    <row r="10" customHeight="1" spans="1:18">
      <c r="A10" s="149">
        <v>7</v>
      </c>
      <c r="B10" s="161" t="s">
        <v>364</v>
      </c>
      <c r="C10" s="162">
        <v>80</v>
      </c>
      <c r="D10" s="163">
        <v>45</v>
      </c>
      <c r="E10" s="163"/>
      <c r="F10" s="163">
        <v>30</v>
      </c>
      <c r="G10" s="164">
        <v>5</v>
      </c>
      <c r="H10" s="165">
        <v>5</v>
      </c>
      <c r="I10" s="157">
        <v>2.9149</v>
      </c>
      <c r="J10" s="157">
        <v>-2.9149</v>
      </c>
      <c r="K10" s="166">
        <v>-5</v>
      </c>
      <c r="L10" s="167">
        <f t="shared" si="0"/>
        <v>80</v>
      </c>
      <c r="M10" s="151">
        <f t="shared" si="1"/>
        <v>50</v>
      </c>
      <c r="N10" s="151">
        <f t="shared" si="2"/>
        <v>2.9149</v>
      </c>
      <c r="O10" s="151">
        <f t="shared" si="3"/>
        <v>27.0851</v>
      </c>
      <c r="P10" s="168"/>
      <c r="R10">
        <v>10000</v>
      </c>
    </row>
    <row r="11" customHeight="1" spans="1:18">
      <c r="A11" s="149">
        <v>8</v>
      </c>
      <c r="B11" s="161" t="s">
        <v>365</v>
      </c>
      <c r="C11" s="162">
        <v>80</v>
      </c>
      <c r="D11" s="163">
        <v>45</v>
      </c>
      <c r="E11" s="163"/>
      <c r="F11" s="163">
        <v>30</v>
      </c>
      <c r="G11" s="164">
        <v>5</v>
      </c>
      <c r="H11" s="165">
        <v>5</v>
      </c>
      <c r="I11" s="157">
        <v>2.9616</v>
      </c>
      <c r="J11" s="157">
        <v>-2.9616</v>
      </c>
      <c r="K11" s="166">
        <v>-5</v>
      </c>
      <c r="L11" s="167">
        <f t="shared" si="0"/>
        <v>80</v>
      </c>
      <c r="M11" s="151">
        <f t="shared" si="1"/>
        <v>50</v>
      </c>
      <c r="N11" s="151">
        <f t="shared" si="2"/>
        <v>2.9616</v>
      </c>
      <c r="O11" s="151">
        <f t="shared" si="3"/>
        <v>27.0384</v>
      </c>
      <c r="P11" s="168"/>
      <c r="R11">
        <v>10000</v>
      </c>
    </row>
    <row r="12" customHeight="1" spans="1:18">
      <c r="A12" s="149">
        <v>9</v>
      </c>
      <c r="B12" s="161" t="s">
        <v>366</v>
      </c>
      <c r="C12" s="162">
        <v>80</v>
      </c>
      <c r="D12" s="163">
        <v>45</v>
      </c>
      <c r="E12" s="163"/>
      <c r="F12" s="163">
        <v>30</v>
      </c>
      <c r="G12" s="164">
        <v>5</v>
      </c>
      <c r="H12" s="165">
        <v>5</v>
      </c>
      <c r="I12" s="157">
        <v>2.9772</v>
      </c>
      <c r="J12" s="157">
        <v>-2.9772</v>
      </c>
      <c r="K12" s="166">
        <v>-5</v>
      </c>
      <c r="L12" s="167">
        <f t="shared" si="0"/>
        <v>80</v>
      </c>
      <c r="M12" s="151">
        <f t="shared" si="1"/>
        <v>50</v>
      </c>
      <c r="N12" s="151">
        <f t="shared" si="2"/>
        <v>2.9772</v>
      </c>
      <c r="O12" s="151">
        <f t="shared" si="3"/>
        <v>27.0228</v>
      </c>
      <c r="P12" s="168"/>
      <c r="R12">
        <v>10000</v>
      </c>
    </row>
    <row r="13" customHeight="1" spans="1:18">
      <c r="A13" s="149">
        <v>10</v>
      </c>
      <c r="B13" s="161" t="s">
        <v>367</v>
      </c>
      <c r="C13" s="162">
        <v>80</v>
      </c>
      <c r="D13" s="163">
        <v>45</v>
      </c>
      <c r="E13" s="163"/>
      <c r="F13" s="163">
        <v>30</v>
      </c>
      <c r="G13" s="164">
        <v>5</v>
      </c>
      <c r="H13" s="165">
        <v>5</v>
      </c>
      <c r="I13" s="157">
        <v>2.9149</v>
      </c>
      <c r="J13" s="157">
        <v>-2.9149</v>
      </c>
      <c r="K13" s="166">
        <v>-5</v>
      </c>
      <c r="L13" s="167">
        <f t="shared" si="0"/>
        <v>80</v>
      </c>
      <c r="M13" s="151">
        <f t="shared" si="1"/>
        <v>50</v>
      </c>
      <c r="N13" s="151">
        <f t="shared" si="2"/>
        <v>2.9149</v>
      </c>
      <c r="O13" s="151">
        <f t="shared" si="3"/>
        <v>27.0851</v>
      </c>
      <c r="P13" s="168"/>
      <c r="R13">
        <v>10000</v>
      </c>
    </row>
    <row r="14" customHeight="1" spans="1:18">
      <c r="A14" s="149">
        <v>11</v>
      </c>
      <c r="B14" s="161" t="s">
        <v>368</v>
      </c>
      <c r="C14" s="162">
        <v>80</v>
      </c>
      <c r="D14" s="163">
        <v>45</v>
      </c>
      <c r="E14" s="163"/>
      <c r="F14" s="163">
        <v>30</v>
      </c>
      <c r="G14" s="164">
        <v>5</v>
      </c>
      <c r="H14" s="165">
        <v>5</v>
      </c>
      <c r="I14" s="157">
        <v>2.9149</v>
      </c>
      <c r="J14" s="157">
        <v>-2.9149</v>
      </c>
      <c r="K14" s="166">
        <v>-5</v>
      </c>
      <c r="L14" s="167">
        <f t="shared" si="0"/>
        <v>80</v>
      </c>
      <c r="M14" s="151">
        <f t="shared" si="1"/>
        <v>50</v>
      </c>
      <c r="N14" s="151">
        <f t="shared" si="2"/>
        <v>2.9149</v>
      </c>
      <c r="O14" s="151">
        <f t="shared" si="3"/>
        <v>27.0851</v>
      </c>
      <c r="P14" s="168"/>
      <c r="R14">
        <v>10000</v>
      </c>
    </row>
    <row r="15" customHeight="1" spans="1:18">
      <c r="A15" s="149">
        <v>12</v>
      </c>
      <c r="B15" s="161" t="s">
        <v>369</v>
      </c>
      <c r="C15" s="162">
        <v>80</v>
      </c>
      <c r="D15" s="163">
        <v>45</v>
      </c>
      <c r="E15" s="163"/>
      <c r="F15" s="163">
        <v>30</v>
      </c>
      <c r="G15" s="164">
        <v>5</v>
      </c>
      <c r="H15" s="165">
        <v>5</v>
      </c>
      <c r="I15" s="157">
        <v>2.9149</v>
      </c>
      <c r="J15" s="157">
        <v>-2.9149</v>
      </c>
      <c r="K15" s="166">
        <v>-5</v>
      </c>
      <c r="L15" s="167">
        <f t="shared" si="0"/>
        <v>80</v>
      </c>
      <c r="M15" s="151">
        <f t="shared" si="1"/>
        <v>50</v>
      </c>
      <c r="N15" s="151">
        <f t="shared" si="2"/>
        <v>2.9149</v>
      </c>
      <c r="O15" s="151">
        <f t="shared" si="3"/>
        <v>27.0851</v>
      </c>
      <c r="P15" s="168"/>
      <c r="R15">
        <v>10000</v>
      </c>
    </row>
    <row r="16" customHeight="1" spans="1:18">
      <c r="A16" s="149">
        <v>13</v>
      </c>
      <c r="B16" s="161" t="s">
        <v>370</v>
      </c>
      <c r="C16" s="162">
        <v>80</v>
      </c>
      <c r="D16" s="163">
        <v>45</v>
      </c>
      <c r="E16" s="163"/>
      <c r="F16" s="163">
        <v>30</v>
      </c>
      <c r="G16" s="164">
        <v>5</v>
      </c>
      <c r="H16" s="165">
        <v>5</v>
      </c>
      <c r="I16" s="157">
        <v>2.9149</v>
      </c>
      <c r="J16" s="157">
        <v>-2.9149</v>
      </c>
      <c r="K16" s="166">
        <v>-5</v>
      </c>
      <c r="L16" s="167">
        <f t="shared" si="0"/>
        <v>80</v>
      </c>
      <c r="M16" s="151">
        <f t="shared" si="1"/>
        <v>50</v>
      </c>
      <c r="N16" s="151">
        <f t="shared" si="2"/>
        <v>2.9149</v>
      </c>
      <c r="O16" s="151">
        <f t="shared" si="3"/>
        <v>27.0851</v>
      </c>
      <c r="P16" s="168"/>
      <c r="R16">
        <v>10000</v>
      </c>
    </row>
    <row r="17" customHeight="1" spans="1:18">
      <c r="A17" s="149">
        <v>14</v>
      </c>
      <c r="B17" s="161" t="s">
        <v>371</v>
      </c>
      <c r="C17" s="162">
        <v>80</v>
      </c>
      <c r="D17" s="163">
        <v>45</v>
      </c>
      <c r="E17" s="163"/>
      <c r="F17" s="163">
        <v>30</v>
      </c>
      <c r="G17" s="164">
        <v>5</v>
      </c>
      <c r="H17" s="165">
        <v>5</v>
      </c>
      <c r="I17" s="157">
        <v>2.9616</v>
      </c>
      <c r="J17" s="157">
        <v>-2.9616</v>
      </c>
      <c r="K17" s="166">
        <v>-5</v>
      </c>
      <c r="L17" s="167">
        <f t="shared" si="0"/>
        <v>80</v>
      </c>
      <c r="M17" s="151">
        <f t="shared" si="1"/>
        <v>50</v>
      </c>
      <c r="N17" s="151">
        <f t="shared" si="2"/>
        <v>2.9616</v>
      </c>
      <c r="O17" s="151">
        <f t="shared" si="3"/>
        <v>27.0384</v>
      </c>
      <c r="P17" s="168"/>
      <c r="R17">
        <v>10000</v>
      </c>
    </row>
    <row r="18" customHeight="1" spans="1:18">
      <c r="A18" s="149">
        <v>15</v>
      </c>
      <c r="B18" s="161" t="s">
        <v>372</v>
      </c>
      <c r="C18" s="162">
        <v>80</v>
      </c>
      <c r="D18" s="163">
        <v>45</v>
      </c>
      <c r="E18" s="163"/>
      <c r="F18" s="163">
        <v>30</v>
      </c>
      <c r="G18" s="164">
        <v>5</v>
      </c>
      <c r="H18" s="165">
        <v>5</v>
      </c>
      <c r="I18" s="157">
        <v>2.9149</v>
      </c>
      <c r="J18" s="157">
        <v>-2.9149</v>
      </c>
      <c r="K18" s="166">
        <v>-5</v>
      </c>
      <c r="L18" s="167">
        <f t="shared" si="0"/>
        <v>80</v>
      </c>
      <c r="M18" s="151">
        <f t="shared" si="1"/>
        <v>50</v>
      </c>
      <c r="N18" s="151">
        <f t="shared" si="2"/>
        <v>2.9149</v>
      </c>
      <c r="O18" s="151">
        <f t="shared" si="3"/>
        <v>27.0851</v>
      </c>
      <c r="P18" s="168"/>
      <c r="R18">
        <v>10000</v>
      </c>
    </row>
    <row r="19" customHeight="1" spans="1:18">
      <c r="A19" s="149">
        <v>16</v>
      </c>
      <c r="B19" s="161" t="s">
        <v>373</v>
      </c>
      <c r="C19" s="162">
        <v>80</v>
      </c>
      <c r="D19" s="163">
        <v>45</v>
      </c>
      <c r="E19" s="163"/>
      <c r="F19" s="163">
        <v>30</v>
      </c>
      <c r="G19" s="164">
        <v>5</v>
      </c>
      <c r="H19" s="165">
        <v>5</v>
      </c>
      <c r="I19" s="157">
        <v>2.9149</v>
      </c>
      <c r="J19" s="157">
        <v>-2.9149</v>
      </c>
      <c r="K19" s="166">
        <v>-5</v>
      </c>
      <c r="L19" s="167">
        <f t="shared" si="0"/>
        <v>80</v>
      </c>
      <c r="M19" s="151">
        <f t="shared" si="1"/>
        <v>50</v>
      </c>
      <c r="N19" s="151">
        <f t="shared" si="2"/>
        <v>2.9149</v>
      </c>
      <c r="O19" s="151">
        <f t="shared" si="3"/>
        <v>27.0851</v>
      </c>
      <c r="P19" s="168"/>
      <c r="R19">
        <v>10000</v>
      </c>
    </row>
    <row r="20" customHeight="1" spans="1:18">
      <c r="A20" s="149">
        <v>17</v>
      </c>
      <c r="B20" s="161" t="s">
        <v>374</v>
      </c>
      <c r="C20" s="162">
        <v>80</v>
      </c>
      <c r="D20" s="163">
        <v>45</v>
      </c>
      <c r="E20" s="163"/>
      <c r="F20" s="163">
        <v>30</v>
      </c>
      <c r="G20" s="164">
        <v>5</v>
      </c>
      <c r="H20" s="165">
        <v>5</v>
      </c>
      <c r="I20" s="157">
        <v>2.9149</v>
      </c>
      <c r="J20" s="157">
        <v>-2.9149</v>
      </c>
      <c r="K20" s="166">
        <v>-5</v>
      </c>
      <c r="L20" s="167">
        <f t="shared" si="0"/>
        <v>80</v>
      </c>
      <c r="M20" s="151">
        <f t="shared" si="1"/>
        <v>50</v>
      </c>
      <c r="N20" s="151">
        <f t="shared" si="2"/>
        <v>2.9149</v>
      </c>
      <c r="O20" s="151">
        <f t="shared" si="3"/>
        <v>27.0851</v>
      </c>
      <c r="P20" s="168"/>
      <c r="R20">
        <v>10000</v>
      </c>
    </row>
    <row r="21" customHeight="1" spans="1:18">
      <c r="A21" s="149">
        <v>18</v>
      </c>
      <c r="B21" s="161" t="s">
        <v>375</v>
      </c>
      <c r="C21" s="162">
        <v>80</v>
      </c>
      <c r="D21" s="163">
        <v>45</v>
      </c>
      <c r="E21" s="163"/>
      <c r="F21" s="163">
        <v>30</v>
      </c>
      <c r="G21" s="164">
        <v>5</v>
      </c>
      <c r="H21" s="165">
        <v>5</v>
      </c>
      <c r="I21" s="157">
        <v>2.9772</v>
      </c>
      <c r="J21" s="157">
        <v>-2.9772</v>
      </c>
      <c r="K21" s="166">
        <v>-5</v>
      </c>
      <c r="L21" s="167">
        <f t="shared" si="0"/>
        <v>80</v>
      </c>
      <c r="M21" s="151">
        <f t="shared" si="1"/>
        <v>50</v>
      </c>
      <c r="N21" s="151">
        <f t="shared" si="2"/>
        <v>2.9772</v>
      </c>
      <c r="O21" s="151">
        <f t="shared" si="3"/>
        <v>27.0228</v>
      </c>
      <c r="P21" s="168"/>
      <c r="R21">
        <v>10000</v>
      </c>
    </row>
    <row r="22" customHeight="1" spans="1:18">
      <c r="A22" s="149">
        <v>19</v>
      </c>
      <c r="B22" s="161" t="s">
        <v>376</v>
      </c>
      <c r="C22" s="162">
        <v>80</v>
      </c>
      <c r="D22" s="163">
        <v>45</v>
      </c>
      <c r="E22" s="163"/>
      <c r="F22" s="163">
        <v>30</v>
      </c>
      <c r="G22" s="164">
        <v>5</v>
      </c>
      <c r="H22" s="165">
        <v>5</v>
      </c>
      <c r="I22" s="157">
        <v>2.9149</v>
      </c>
      <c r="J22" s="157">
        <v>-2.9149</v>
      </c>
      <c r="K22" s="166">
        <v>-5</v>
      </c>
      <c r="L22" s="167">
        <f t="shared" si="0"/>
        <v>80</v>
      </c>
      <c r="M22" s="151">
        <f t="shared" si="1"/>
        <v>50</v>
      </c>
      <c r="N22" s="151">
        <f t="shared" si="2"/>
        <v>2.9149</v>
      </c>
      <c r="O22" s="151">
        <f t="shared" si="3"/>
        <v>27.0851</v>
      </c>
      <c r="P22" s="168"/>
      <c r="R22">
        <v>10000</v>
      </c>
    </row>
    <row r="23" customHeight="1" spans="1:18">
      <c r="A23" s="149">
        <v>20</v>
      </c>
      <c r="B23" s="161" t="s">
        <v>377</v>
      </c>
      <c r="C23" s="162">
        <v>80</v>
      </c>
      <c r="D23" s="163">
        <v>45</v>
      </c>
      <c r="E23" s="163"/>
      <c r="F23" s="163">
        <v>30</v>
      </c>
      <c r="G23" s="164">
        <v>5</v>
      </c>
      <c r="H23" s="165">
        <v>5</v>
      </c>
      <c r="I23" s="157">
        <v>2.9149</v>
      </c>
      <c r="J23" s="157">
        <v>-2.9149</v>
      </c>
      <c r="K23" s="166">
        <v>-5</v>
      </c>
      <c r="L23" s="167">
        <f t="shared" si="0"/>
        <v>80</v>
      </c>
      <c r="M23" s="151">
        <f t="shared" si="1"/>
        <v>50</v>
      </c>
      <c r="N23" s="151">
        <f t="shared" si="2"/>
        <v>2.9149</v>
      </c>
      <c r="O23" s="151">
        <f t="shared" si="3"/>
        <v>27.0851</v>
      </c>
      <c r="P23" s="168"/>
      <c r="R23">
        <v>10000</v>
      </c>
    </row>
    <row r="24" customHeight="1" spans="1:18">
      <c r="A24" s="149">
        <v>21</v>
      </c>
      <c r="B24" s="161" t="s">
        <v>378</v>
      </c>
      <c r="C24" s="162">
        <v>80</v>
      </c>
      <c r="D24" s="163">
        <v>45</v>
      </c>
      <c r="E24" s="163"/>
      <c r="F24" s="163">
        <v>30</v>
      </c>
      <c r="G24" s="164">
        <v>5</v>
      </c>
      <c r="H24" s="165">
        <v>5</v>
      </c>
      <c r="I24" s="157">
        <v>2.9149</v>
      </c>
      <c r="J24" s="157">
        <v>-2.9149</v>
      </c>
      <c r="K24" s="166">
        <v>-5</v>
      </c>
      <c r="L24" s="167">
        <f t="shared" si="0"/>
        <v>80</v>
      </c>
      <c r="M24" s="151">
        <f t="shared" si="1"/>
        <v>50</v>
      </c>
      <c r="N24" s="151">
        <f t="shared" si="2"/>
        <v>2.9149</v>
      </c>
      <c r="O24" s="151">
        <f t="shared" si="3"/>
        <v>27.0851</v>
      </c>
      <c r="P24" s="168"/>
      <c r="R24">
        <v>10000</v>
      </c>
    </row>
    <row r="25" customHeight="1" spans="1:18">
      <c r="A25" s="149">
        <v>22</v>
      </c>
      <c r="B25" s="161" t="s">
        <v>379</v>
      </c>
      <c r="C25" s="162">
        <v>80</v>
      </c>
      <c r="D25" s="163">
        <v>45</v>
      </c>
      <c r="E25" s="163"/>
      <c r="F25" s="163">
        <v>30</v>
      </c>
      <c r="G25" s="164">
        <v>5</v>
      </c>
      <c r="H25" s="165">
        <v>5</v>
      </c>
      <c r="I25" s="157">
        <v>2.9772</v>
      </c>
      <c r="J25" s="157">
        <v>-2.9772</v>
      </c>
      <c r="K25" s="166">
        <v>-5</v>
      </c>
      <c r="L25" s="167">
        <f t="shared" si="0"/>
        <v>80</v>
      </c>
      <c r="M25" s="151">
        <f t="shared" si="1"/>
        <v>50</v>
      </c>
      <c r="N25" s="151">
        <f t="shared" si="2"/>
        <v>2.9772</v>
      </c>
      <c r="O25" s="151">
        <f t="shared" si="3"/>
        <v>27.0228</v>
      </c>
      <c r="P25" s="168"/>
      <c r="R25">
        <v>10000</v>
      </c>
    </row>
    <row r="26" customHeight="1" spans="1:18">
      <c r="A26" s="149">
        <v>23</v>
      </c>
      <c r="B26" s="161" t="s">
        <v>380</v>
      </c>
      <c r="C26" s="162">
        <v>80</v>
      </c>
      <c r="D26" s="163">
        <v>45</v>
      </c>
      <c r="E26" s="163"/>
      <c r="F26" s="163">
        <v>30</v>
      </c>
      <c r="G26" s="164">
        <v>5</v>
      </c>
      <c r="H26" s="165">
        <v>5</v>
      </c>
      <c r="I26" s="157">
        <v>2.9149</v>
      </c>
      <c r="J26" s="157">
        <v>-2.9149</v>
      </c>
      <c r="K26" s="166">
        <v>-5</v>
      </c>
      <c r="L26" s="167">
        <f t="shared" si="0"/>
        <v>80</v>
      </c>
      <c r="M26" s="151">
        <f t="shared" si="1"/>
        <v>50</v>
      </c>
      <c r="N26" s="151">
        <f t="shared" si="2"/>
        <v>2.9149</v>
      </c>
      <c r="O26" s="151">
        <f t="shared" si="3"/>
        <v>27.0851</v>
      </c>
      <c r="P26" s="168"/>
      <c r="R26">
        <v>10000</v>
      </c>
    </row>
    <row r="27" customHeight="1" spans="1:18">
      <c r="A27" s="149">
        <v>24</v>
      </c>
      <c r="B27" s="161" t="s">
        <v>381</v>
      </c>
      <c r="C27" s="162">
        <v>80</v>
      </c>
      <c r="D27" s="163">
        <v>45</v>
      </c>
      <c r="E27" s="163"/>
      <c r="F27" s="163">
        <v>30</v>
      </c>
      <c r="G27" s="164">
        <v>5</v>
      </c>
      <c r="H27" s="165">
        <v>5</v>
      </c>
      <c r="I27" s="157">
        <v>2.9149</v>
      </c>
      <c r="J27" s="157">
        <v>-2.9149</v>
      </c>
      <c r="K27" s="166">
        <v>-5</v>
      </c>
      <c r="L27" s="167">
        <f t="shared" si="0"/>
        <v>80</v>
      </c>
      <c r="M27" s="151">
        <f t="shared" si="1"/>
        <v>50</v>
      </c>
      <c r="N27" s="151">
        <f t="shared" si="2"/>
        <v>2.9149</v>
      </c>
      <c r="O27" s="151">
        <f t="shared" si="3"/>
        <v>27.0851</v>
      </c>
      <c r="P27" s="168"/>
      <c r="R27">
        <v>10000</v>
      </c>
    </row>
    <row r="28" customHeight="1" spans="1:18">
      <c r="A28" s="149">
        <v>25</v>
      </c>
      <c r="B28" s="161" t="s">
        <v>382</v>
      </c>
      <c r="C28" s="162">
        <v>80</v>
      </c>
      <c r="D28" s="163">
        <v>45</v>
      </c>
      <c r="E28" s="163"/>
      <c r="F28" s="163">
        <v>30</v>
      </c>
      <c r="G28" s="164">
        <v>5</v>
      </c>
      <c r="H28" s="165">
        <v>5</v>
      </c>
      <c r="I28" s="157">
        <v>2.9149</v>
      </c>
      <c r="J28" s="157">
        <v>-2.9149</v>
      </c>
      <c r="K28" s="166">
        <v>-5</v>
      </c>
      <c r="L28" s="167">
        <f t="shared" si="0"/>
        <v>80</v>
      </c>
      <c r="M28" s="151">
        <f t="shared" si="1"/>
        <v>50</v>
      </c>
      <c r="N28" s="151">
        <f t="shared" si="2"/>
        <v>2.9149</v>
      </c>
      <c r="O28" s="151">
        <f t="shared" si="3"/>
        <v>27.0851</v>
      </c>
      <c r="P28" s="168"/>
      <c r="R28">
        <v>10000</v>
      </c>
    </row>
    <row r="29" customHeight="1" spans="1:18">
      <c r="A29" s="149">
        <v>26</v>
      </c>
      <c r="B29" s="161" t="s">
        <v>383</v>
      </c>
      <c r="C29" s="162">
        <v>80</v>
      </c>
      <c r="D29" s="163">
        <v>45</v>
      </c>
      <c r="E29" s="163"/>
      <c r="F29" s="163">
        <v>30</v>
      </c>
      <c r="G29" s="164">
        <v>5</v>
      </c>
      <c r="H29" s="165">
        <v>5</v>
      </c>
      <c r="I29" s="157">
        <v>2.9771</v>
      </c>
      <c r="J29" s="157">
        <v>-2.9771</v>
      </c>
      <c r="K29" s="166">
        <v>-5</v>
      </c>
      <c r="L29" s="167">
        <f t="shared" si="0"/>
        <v>80</v>
      </c>
      <c r="M29" s="151">
        <f t="shared" si="1"/>
        <v>50</v>
      </c>
      <c r="N29" s="151">
        <f t="shared" si="2"/>
        <v>2.9771</v>
      </c>
      <c r="O29" s="151">
        <f t="shared" si="3"/>
        <v>27.0229</v>
      </c>
      <c r="P29" s="168"/>
      <c r="R29">
        <v>10000</v>
      </c>
    </row>
    <row r="30" customHeight="1" spans="1:18">
      <c r="A30" s="149">
        <v>27</v>
      </c>
      <c r="B30" s="161" t="s">
        <v>384</v>
      </c>
      <c r="C30" s="162">
        <v>80</v>
      </c>
      <c r="D30" s="163">
        <v>45</v>
      </c>
      <c r="E30" s="163"/>
      <c r="F30" s="163">
        <v>30</v>
      </c>
      <c r="G30" s="164">
        <v>5</v>
      </c>
      <c r="H30" s="165">
        <v>5</v>
      </c>
      <c r="I30" s="157">
        <v>2.9149</v>
      </c>
      <c r="J30" s="157">
        <v>-2.9149</v>
      </c>
      <c r="K30" s="166">
        <v>-5</v>
      </c>
      <c r="L30" s="167">
        <f t="shared" si="0"/>
        <v>80</v>
      </c>
      <c r="M30" s="151">
        <f t="shared" si="1"/>
        <v>50</v>
      </c>
      <c r="N30" s="151">
        <f t="shared" si="2"/>
        <v>2.9149</v>
      </c>
      <c r="O30" s="151">
        <f t="shared" si="3"/>
        <v>27.0851</v>
      </c>
      <c r="P30" s="168"/>
      <c r="R30">
        <v>10000</v>
      </c>
    </row>
    <row r="31" customHeight="1" spans="1:18">
      <c r="A31" s="149">
        <v>28</v>
      </c>
      <c r="B31" s="161" t="s">
        <v>385</v>
      </c>
      <c r="C31" s="162">
        <v>80</v>
      </c>
      <c r="D31" s="163">
        <v>45</v>
      </c>
      <c r="E31" s="163"/>
      <c r="F31" s="163">
        <v>30</v>
      </c>
      <c r="G31" s="164">
        <v>5</v>
      </c>
      <c r="H31" s="165">
        <v>5</v>
      </c>
      <c r="I31" s="157">
        <v>2.9149</v>
      </c>
      <c r="J31" s="157">
        <v>-2.9149</v>
      </c>
      <c r="K31" s="166">
        <v>-5</v>
      </c>
      <c r="L31" s="167">
        <f t="shared" si="0"/>
        <v>80</v>
      </c>
      <c r="M31" s="151">
        <f t="shared" si="1"/>
        <v>50</v>
      </c>
      <c r="N31" s="151">
        <f t="shared" si="2"/>
        <v>2.9149</v>
      </c>
      <c r="O31" s="151">
        <f t="shared" si="3"/>
        <v>27.0851</v>
      </c>
      <c r="P31" s="168"/>
      <c r="R31">
        <v>10000</v>
      </c>
    </row>
    <row r="32" customHeight="1" spans="1:18">
      <c r="A32" s="149">
        <v>29</v>
      </c>
      <c r="B32" s="169" t="s">
        <v>386</v>
      </c>
      <c r="C32" s="162">
        <v>80</v>
      </c>
      <c r="D32" s="163">
        <v>45</v>
      </c>
      <c r="E32" s="163"/>
      <c r="F32" s="163">
        <v>30</v>
      </c>
      <c r="G32" s="164">
        <v>5</v>
      </c>
      <c r="H32" s="165">
        <v>5</v>
      </c>
      <c r="I32" s="157">
        <v>2.9772</v>
      </c>
      <c r="J32" s="157">
        <v>-2.9772</v>
      </c>
      <c r="K32" s="166">
        <v>-5</v>
      </c>
      <c r="L32" s="167">
        <f t="shared" si="0"/>
        <v>80</v>
      </c>
      <c r="M32" s="151">
        <f t="shared" si="1"/>
        <v>50</v>
      </c>
      <c r="N32" s="151">
        <f t="shared" si="2"/>
        <v>2.9772</v>
      </c>
      <c r="O32" s="151">
        <f t="shared" si="3"/>
        <v>27.0228</v>
      </c>
      <c r="P32" s="168"/>
      <c r="R32">
        <v>10000</v>
      </c>
    </row>
    <row r="33" customHeight="1" spans="1:18">
      <c r="A33" s="149">
        <v>30</v>
      </c>
      <c r="B33" s="169" t="s">
        <v>387</v>
      </c>
      <c r="C33" s="162">
        <v>80</v>
      </c>
      <c r="D33" s="163">
        <v>45</v>
      </c>
      <c r="E33" s="163"/>
      <c r="F33" s="163">
        <v>30</v>
      </c>
      <c r="G33" s="164">
        <v>5</v>
      </c>
      <c r="H33" s="165">
        <v>5</v>
      </c>
      <c r="I33" s="157">
        <v>2.9772</v>
      </c>
      <c r="J33" s="157">
        <v>-2.9772</v>
      </c>
      <c r="K33" s="166">
        <v>-5</v>
      </c>
      <c r="L33" s="167">
        <f t="shared" si="0"/>
        <v>80</v>
      </c>
      <c r="M33" s="151">
        <f t="shared" si="1"/>
        <v>50</v>
      </c>
      <c r="N33" s="151">
        <f t="shared" si="2"/>
        <v>2.9772</v>
      </c>
      <c r="O33" s="151">
        <f t="shared" si="3"/>
        <v>27.0228</v>
      </c>
      <c r="P33" s="168"/>
      <c r="R33">
        <v>10000</v>
      </c>
    </row>
    <row r="34" customHeight="1" spans="1:18">
      <c r="A34" s="149">
        <v>31</v>
      </c>
      <c r="B34" s="161" t="s">
        <v>388</v>
      </c>
      <c r="C34" s="162">
        <v>80</v>
      </c>
      <c r="D34" s="163">
        <v>45</v>
      </c>
      <c r="E34" s="163"/>
      <c r="F34" s="163"/>
      <c r="G34" s="164">
        <v>35</v>
      </c>
      <c r="H34" s="165">
        <v>7.9772</v>
      </c>
      <c r="I34" s="157"/>
      <c r="J34" s="157"/>
      <c r="K34" s="166">
        <v>-7.9772</v>
      </c>
      <c r="L34" s="167">
        <f t="shared" si="0"/>
        <v>80</v>
      </c>
      <c r="M34" s="151">
        <f t="shared" si="1"/>
        <v>52.9772</v>
      </c>
      <c r="N34" s="151"/>
      <c r="O34" s="151"/>
      <c r="P34" s="168">
        <f t="shared" ref="P34:P56" si="4">+G34+K34</f>
        <v>27.0228</v>
      </c>
      <c r="R34">
        <v>10000</v>
      </c>
    </row>
    <row r="35" customHeight="1" spans="1:18">
      <c r="A35" s="149">
        <v>32</v>
      </c>
      <c r="B35" s="161" t="s">
        <v>389</v>
      </c>
      <c r="C35" s="162">
        <v>80</v>
      </c>
      <c r="D35" s="163">
        <v>45</v>
      </c>
      <c r="E35" s="163"/>
      <c r="F35" s="163"/>
      <c r="G35" s="164">
        <v>35</v>
      </c>
      <c r="H35" s="165">
        <v>7.9149</v>
      </c>
      <c r="I35" s="157"/>
      <c r="J35" s="157"/>
      <c r="K35" s="166">
        <v>-7.9149</v>
      </c>
      <c r="L35" s="167">
        <f t="shared" si="0"/>
        <v>80</v>
      </c>
      <c r="M35" s="151">
        <f t="shared" si="1"/>
        <v>52.9149</v>
      </c>
      <c r="N35" s="151"/>
      <c r="O35" s="151"/>
      <c r="P35" s="168">
        <f t="shared" si="4"/>
        <v>27.0851</v>
      </c>
      <c r="R35">
        <v>10000</v>
      </c>
    </row>
    <row r="36" customHeight="1" spans="1:18">
      <c r="A36" s="149">
        <v>33</v>
      </c>
      <c r="B36" s="161" t="s">
        <v>390</v>
      </c>
      <c r="C36" s="162">
        <v>80</v>
      </c>
      <c r="D36" s="163">
        <v>45</v>
      </c>
      <c r="E36" s="163"/>
      <c r="F36" s="163"/>
      <c r="G36" s="164">
        <v>35</v>
      </c>
      <c r="H36" s="165">
        <v>7.9149</v>
      </c>
      <c r="I36" s="157"/>
      <c r="J36" s="157"/>
      <c r="K36" s="166">
        <v>-7.9149</v>
      </c>
      <c r="L36" s="167">
        <f t="shared" si="0"/>
        <v>80</v>
      </c>
      <c r="M36" s="151">
        <f t="shared" si="1"/>
        <v>52.9149</v>
      </c>
      <c r="N36" s="151"/>
      <c r="O36" s="151"/>
      <c r="P36" s="168">
        <f t="shared" si="4"/>
        <v>27.0851</v>
      </c>
      <c r="R36">
        <v>10000</v>
      </c>
    </row>
    <row r="37" customHeight="1" spans="1:18">
      <c r="A37" s="149">
        <v>34</v>
      </c>
      <c r="B37" s="161" t="s">
        <v>391</v>
      </c>
      <c r="C37" s="162">
        <v>80</v>
      </c>
      <c r="D37" s="163">
        <v>45</v>
      </c>
      <c r="E37" s="163"/>
      <c r="F37" s="163"/>
      <c r="G37" s="164">
        <v>35</v>
      </c>
      <c r="H37" s="165">
        <v>7.9149</v>
      </c>
      <c r="I37" s="157"/>
      <c r="J37" s="157"/>
      <c r="K37" s="166">
        <v>-7.9149</v>
      </c>
      <c r="L37" s="167">
        <f t="shared" si="0"/>
        <v>80</v>
      </c>
      <c r="M37" s="151">
        <f t="shared" si="1"/>
        <v>52.9149</v>
      </c>
      <c r="N37" s="151"/>
      <c r="O37" s="151"/>
      <c r="P37" s="168">
        <f t="shared" si="4"/>
        <v>27.0851</v>
      </c>
      <c r="R37">
        <v>10000</v>
      </c>
    </row>
    <row r="38" customHeight="1" spans="1:18">
      <c r="A38" s="149">
        <v>35</v>
      </c>
      <c r="B38" s="161" t="s">
        <v>392</v>
      </c>
      <c r="C38" s="162">
        <v>80</v>
      </c>
      <c r="D38" s="163">
        <v>45</v>
      </c>
      <c r="E38" s="163"/>
      <c r="F38" s="163"/>
      <c r="G38" s="164">
        <v>35</v>
      </c>
      <c r="H38" s="165">
        <v>7.9149</v>
      </c>
      <c r="I38" s="157"/>
      <c r="J38" s="157"/>
      <c r="K38" s="166">
        <v>-7.9149</v>
      </c>
      <c r="L38" s="167">
        <f t="shared" si="0"/>
        <v>80</v>
      </c>
      <c r="M38" s="151">
        <f t="shared" si="1"/>
        <v>52.9149</v>
      </c>
      <c r="N38" s="151"/>
      <c r="O38" s="151"/>
      <c r="P38" s="168">
        <f t="shared" si="4"/>
        <v>27.0851</v>
      </c>
      <c r="R38">
        <v>10000</v>
      </c>
    </row>
    <row r="39" customHeight="1" spans="1:18">
      <c r="A39" s="149">
        <v>36</v>
      </c>
      <c r="B39" s="161" t="s">
        <v>393</v>
      </c>
      <c r="C39" s="162">
        <v>80</v>
      </c>
      <c r="D39" s="163">
        <v>45</v>
      </c>
      <c r="E39" s="163"/>
      <c r="F39" s="163"/>
      <c r="G39" s="164">
        <v>35</v>
      </c>
      <c r="H39" s="165">
        <v>7.9772</v>
      </c>
      <c r="I39" s="157"/>
      <c r="J39" s="157"/>
      <c r="K39" s="166">
        <v>-7.9772</v>
      </c>
      <c r="L39" s="167">
        <f t="shared" si="0"/>
        <v>80</v>
      </c>
      <c r="M39" s="151">
        <f t="shared" si="1"/>
        <v>52.9772</v>
      </c>
      <c r="N39" s="151"/>
      <c r="O39" s="151"/>
      <c r="P39" s="168">
        <f t="shared" si="4"/>
        <v>27.0228</v>
      </c>
      <c r="R39">
        <v>10000</v>
      </c>
    </row>
    <row r="40" customHeight="1" spans="1:18">
      <c r="A40" s="149">
        <v>37</v>
      </c>
      <c r="B40" s="161" t="s">
        <v>394</v>
      </c>
      <c r="C40" s="162">
        <v>80</v>
      </c>
      <c r="D40" s="163">
        <v>45</v>
      </c>
      <c r="E40" s="163"/>
      <c r="F40" s="163"/>
      <c r="G40" s="164">
        <v>35</v>
      </c>
      <c r="H40" s="165">
        <v>7.9149</v>
      </c>
      <c r="I40" s="157"/>
      <c r="J40" s="157"/>
      <c r="K40" s="166">
        <v>-7.9149</v>
      </c>
      <c r="L40" s="167">
        <f t="shared" si="0"/>
        <v>80</v>
      </c>
      <c r="M40" s="151">
        <f t="shared" si="1"/>
        <v>52.9149</v>
      </c>
      <c r="N40" s="151"/>
      <c r="O40" s="151"/>
      <c r="P40" s="168">
        <f t="shared" si="4"/>
        <v>27.0851</v>
      </c>
      <c r="R40">
        <v>10000</v>
      </c>
    </row>
    <row r="41" customHeight="1" spans="1:18">
      <c r="A41" s="149">
        <v>38</v>
      </c>
      <c r="B41" s="161" t="s">
        <v>395</v>
      </c>
      <c r="C41" s="162">
        <v>80</v>
      </c>
      <c r="D41" s="163">
        <v>45</v>
      </c>
      <c r="E41" s="163"/>
      <c r="F41" s="163"/>
      <c r="G41" s="164">
        <v>35</v>
      </c>
      <c r="H41" s="165">
        <v>7.9149</v>
      </c>
      <c r="I41" s="157"/>
      <c r="J41" s="157"/>
      <c r="K41" s="166">
        <v>-7.9149</v>
      </c>
      <c r="L41" s="167">
        <f t="shared" si="0"/>
        <v>80</v>
      </c>
      <c r="M41" s="151">
        <f t="shared" si="1"/>
        <v>52.9149</v>
      </c>
      <c r="N41" s="151"/>
      <c r="O41" s="151"/>
      <c r="P41" s="168">
        <f t="shared" si="4"/>
        <v>27.0851</v>
      </c>
      <c r="R41">
        <v>10000</v>
      </c>
    </row>
    <row r="42" customHeight="1" spans="1:18">
      <c r="A42" s="149">
        <v>39</v>
      </c>
      <c r="B42" s="161" t="s">
        <v>396</v>
      </c>
      <c r="C42" s="162">
        <v>240</v>
      </c>
      <c r="D42" s="163">
        <v>135</v>
      </c>
      <c r="E42" s="163"/>
      <c r="F42" s="163"/>
      <c r="G42" s="164">
        <v>105</v>
      </c>
      <c r="H42" s="165">
        <v>23.9314</v>
      </c>
      <c r="I42" s="157"/>
      <c r="J42" s="157"/>
      <c r="K42" s="166">
        <v>-23.9314</v>
      </c>
      <c r="L42" s="167">
        <f t="shared" si="0"/>
        <v>240</v>
      </c>
      <c r="M42" s="151">
        <f t="shared" si="1"/>
        <v>158.9314</v>
      </c>
      <c r="N42" s="151"/>
      <c r="O42" s="151"/>
      <c r="P42" s="168">
        <f t="shared" si="4"/>
        <v>81.0686</v>
      </c>
      <c r="R42">
        <v>10000</v>
      </c>
    </row>
    <row r="43" customHeight="1" spans="1:18">
      <c r="A43" s="149">
        <v>40</v>
      </c>
      <c r="B43" s="161" t="s">
        <v>397</v>
      </c>
      <c r="C43" s="162">
        <v>80</v>
      </c>
      <c r="D43" s="163">
        <v>45</v>
      </c>
      <c r="E43" s="163"/>
      <c r="F43" s="163"/>
      <c r="G43" s="164">
        <v>35</v>
      </c>
      <c r="H43" s="165">
        <v>7.9772</v>
      </c>
      <c r="I43" s="157"/>
      <c r="J43" s="157"/>
      <c r="K43" s="166">
        <v>-7.9772</v>
      </c>
      <c r="L43" s="167">
        <f t="shared" si="0"/>
        <v>80</v>
      </c>
      <c r="M43" s="151">
        <f t="shared" si="1"/>
        <v>52.9772</v>
      </c>
      <c r="N43" s="151"/>
      <c r="O43" s="151"/>
      <c r="P43" s="168">
        <f t="shared" si="4"/>
        <v>27.0228</v>
      </c>
      <c r="R43">
        <v>10000</v>
      </c>
    </row>
    <row r="44" customHeight="1" spans="1:18">
      <c r="A44" s="149">
        <v>41</v>
      </c>
      <c r="B44" s="161" t="s">
        <v>398</v>
      </c>
      <c r="C44" s="162">
        <v>80</v>
      </c>
      <c r="D44" s="163">
        <v>45</v>
      </c>
      <c r="E44" s="163"/>
      <c r="F44" s="163"/>
      <c r="G44" s="164">
        <v>35</v>
      </c>
      <c r="H44" s="165">
        <v>7.9772</v>
      </c>
      <c r="I44" s="157"/>
      <c r="J44" s="157"/>
      <c r="K44" s="166">
        <v>-7.9772</v>
      </c>
      <c r="L44" s="167">
        <f t="shared" si="0"/>
        <v>80</v>
      </c>
      <c r="M44" s="151">
        <f t="shared" si="1"/>
        <v>52.9772</v>
      </c>
      <c r="N44" s="151"/>
      <c r="O44" s="151"/>
      <c r="P44" s="168">
        <f t="shared" si="4"/>
        <v>27.0228</v>
      </c>
      <c r="R44">
        <v>10000</v>
      </c>
    </row>
    <row r="45" customHeight="1" spans="1:18">
      <c r="A45" s="149">
        <v>42</v>
      </c>
      <c r="B45" s="161" t="s">
        <v>399</v>
      </c>
      <c r="C45" s="162">
        <v>80</v>
      </c>
      <c r="D45" s="163">
        <v>45</v>
      </c>
      <c r="E45" s="163"/>
      <c r="F45" s="163"/>
      <c r="G45" s="164">
        <v>35</v>
      </c>
      <c r="H45" s="165">
        <v>7.3925</v>
      </c>
      <c r="I45" s="157"/>
      <c r="J45" s="157"/>
      <c r="K45" s="166">
        <v>-7.3925</v>
      </c>
      <c r="L45" s="167">
        <f t="shared" si="0"/>
        <v>80</v>
      </c>
      <c r="M45" s="151">
        <f t="shared" si="1"/>
        <v>52.3925</v>
      </c>
      <c r="N45" s="151"/>
      <c r="O45" s="151"/>
      <c r="P45" s="168">
        <f t="shared" si="4"/>
        <v>27.6075</v>
      </c>
      <c r="R45">
        <v>10000</v>
      </c>
    </row>
    <row r="46" customHeight="1" spans="1:18">
      <c r="A46" s="149">
        <v>43</v>
      </c>
      <c r="B46" s="161" t="s">
        <v>400</v>
      </c>
      <c r="C46" s="162">
        <v>160</v>
      </c>
      <c r="D46" s="163">
        <v>90</v>
      </c>
      <c r="E46" s="163"/>
      <c r="F46" s="163"/>
      <c r="G46" s="164">
        <v>70</v>
      </c>
      <c r="H46" s="165">
        <v>15.8299</v>
      </c>
      <c r="I46" s="157"/>
      <c r="J46" s="157"/>
      <c r="K46" s="166">
        <v>-15.8299</v>
      </c>
      <c r="L46" s="167">
        <f t="shared" si="0"/>
        <v>160</v>
      </c>
      <c r="M46" s="151">
        <f t="shared" si="1"/>
        <v>105.8299</v>
      </c>
      <c r="N46" s="151"/>
      <c r="O46" s="151"/>
      <c r="P46" s="168">
        <f t="shared" si="4"/>
        <v>54.1701</v>
      </c>
      <c r="R46">
        <v>10000</v>
      </c>
    </row>
    <row r="47" customHeight="1" spans="1:18">
      <c r="A47" s="149">
        <v>44</v>
      </c>
      <c r="B47" s="161" t="s">
        <v>401</v>
      </c>
      <c r="C47" s="162">
        <v>80</v>
      </c>
      <c r="D47" s="163">
        <v>45</v>
      </c>
      <c r="E47" s="163"/>
      <c r="F47" s="163"/>
      <c r="G47" s="164">
        <v>35</v>
      </c>
      <c r="H47" s="165">
        <v>7.9149</v>
      </c>
      <c r="I47" s="157"/>
      <c r="J47" s="157"/>
      <c r="K47" s="166">
        <v>-7.9149</v>
      </c>
      <c r="L47" s="167">
        <f t="shared" si="0"/>
        <v>80</v>
      </c>
      <c r="M47" s="151">
        <f t="shared" si="1"/>
        <v>52.9149</v>
      </c>
      <c r="N47" s="151"/>
      <c r="O47" s="151"/>
      <c r="P47" s="168">
        <f t="shared" si="4"/>
        <v>27.0851</v>
      </c>
      <c r="R47">
        <v>10000</v>
      </c>
    </row>
    <row r="48" customHeight="1" spans="1:18">
      <c r="A48" s="149">
        <v>45</v>
      </c>
      <c r="B48" s="161" t="s">
        <v>402</v>
      </c>
      <c r="C48" s="162">
        <v>240</v>
      </c>
      <c r="D48" s="163">
        <v>95</v>
      </c>
      <c r="E48" s="163">
        <v>30</v>
      </c>
      <c r="F48" s="163">
        <v>8</v>
      </c>
      <c r="G48" s="164">
        <v>107</v>
      </c>
      <c r="H48" s="165">
        <v>23.5402</v>
      </c>
      <c r="I48" s="157"/>
      <c r="J48" s="157"/>
      <c r="K48" s="166">
        <v>-23.5402</v>
      </c>
      <c r="L48" s="167">
        <f t="shared" si="0"/>
        <v>240</v>
      </c>
      <c r="M48" s="151">
        <f t="shared" si="1"/>
        <v>118.5402</v>
      </c>
      <c r="N48" s="151">
        <f t="shared" ref="N48:N56" si="5">+E48+I48</f>
        <v>30</v>
      </c>
      <c r="O48" s="151">
        <f>+F48+J48</f>
        <v>8</v>
      </c>
      <c r="P48" s="168">
        <f t="shared" si="4"/>
        <v>83.4598</v>
      </c>
      <c r="R48">
        <v>10000</v>
      </c>
    </row>
    <row r="49" customHeight="1" spans="1:18">
      <c r="A49" s="149">
        <v>46</v>
      </c>
      <c r="B49" s="161" t="s">
        <v>403</v>
      </c>
      <c r="C49" s="162">
        <v>320</v>
      </c>
      <c r="D49" s="163">
        <v>45</v>
      </c>
      <c r="E49" s="163">
        <v>135</v>
      </c>
      <c r="F49" s="163"/>
      <c r="G49" s="164">
        <v>140</v>
      </c>
      <c r="H49" s="165">
        <v>31.8988</v>
      </c>
      <c r="I49" s="157"/>
      <c r="J49" s="157"/>
      <c r="K49" s="166">
        <v>-31.8988</v>
      </c>
      <c r="L49" s="167">
        <f t="shared" si="0"/>
        <v>320</v>
      </c>
      <c r="M49" s="151">
        <f t="shared" si="1"/>
        <v>76.8988</v>
      </c>
      <c r="N49" s="151">
        <f t="shared" si="5"/>
        <v>135</v>
      </c>
      <c r="O49" s="151"/>
      <c r="P49" s="168">
        <f t="shared" si="4"/>
        <v>108.1012</v>
      </c>
      <c r="R49">
        <v>10000</v>
      </c>
    </row>
    <row r="50" customHeight="1" spans="1:18">
      <c r="A50" s="149">
        <v>47</v>
      </c>
      <c r="B50" s="161" t="s">
        <v>404</v>
      </c>
      <c r="C50" s="162">
        <v>80</v>
      </c>
      <c r="D50" s="163"/>
      <c r="E50" s="163">
        <v>45</v>
      </c>
      <c r="F50" s="163"/>
      <c r="G50" s="164">
        <v>35</v>
      </c>
      <c r="H50" s="165">
        <v>7.9149</v>
      </c>
      <c r="I50" s="157"/>
      <c r="J50" s="157"/>
      <c r="K50" s="166">
        <v>-7.9149</v>
      </c>
      <c r="L50" s="167">
        <f t="shared" si="0"/>
        <v>80</v>
      </c>
      <c r="M50" s="151">
        <f t="shared" si="1"/>
        <v>7.9149</v>
      </c>
      <c r="N50" s="151">
        <f t="shared" si="5"/>
        <v>45</v>
      </c>
      <c r="O50" s="151"/>
      <c r="P50" s="168">
        <f t="shared" si="4"/>
        <v>27.0851</v>
      </c>
      <c r="R50">
        <v>10000</v>
      </c>
    </row>
    <row r="51" customHeight="1" spans="1:18">
      <c r="A51" s="149">
        <v>48</v>
      </c>
      <c r="B51" s="161" t="s">
        <v>405</v>
      </c>
      <c r="C51" s="162">
        <v>160</v>
      </c>
      <c r="D51" s="163"/>
      <c r="E51" s="163">
        <v>90</v>
      </c>
      <c r="F51" s="163"/>
      <c r="G51" s="164">
        <v>70</v>
      </c>
      <c r="H51" s="165">
        <v>15.8299</v>
      </c>
      <c r="I51" s="157"/>
      <c r="J51" s="157"/>
      <c r="K51" s="166">
        <v>-15.8299</v>
      </c>
      <c r="L51" s="167">
        <f t="shared" si="0"/>
        <v>160</v>
      </c>
      <c r="M51" s="151">
        <f t="shared" si="1"/>
        <v>15.8299</v>
      </c>
      <c r="N51" s="151">
        <f t="shared" si="5"/>
        <v>90</v>
      </c>
      <c r="O51" s="151"/>
      <c r="P51" s="168">
        <f t="shared" si="4"/>
        <v>54.1701</v>
      </c>
      <c r="R51">
        <v>10000</v>
      </c>
    </row>
    <row r="52" customHeight="1" spans="1:18">
      <c r="A52" s="149">
        <v>49</v>
      </c>
      <c r="B52" s="161" t="s">
        <v>406</v>
      </c>
      <c r="C52" s="162">
        <v>160</v>
      </c>
      <c r="D52" s="163"/>
      <c r="E52" s="163">
        <v>90</v>
      </c>
      <c r="F52" s="163"/>
      <c r="G52" s="164">
        <v>70</v>
      </c>
      <c r="H52" s="165">
        <v>15.6253</v>
      </c>
      <c r="I52" s="157"/>
      <c r="J52" s="157"/>
      <c r="K52" s="166">
        <v>-15.6253</v>
      </c>
      <c r="L52" s="167">
        <f t="shared" si="0"/>
        <v>160</v>
      </c>
      <c r="M52" s="151">
        <f t="shared" si="1"/>
        <v>15.6253</v>
      </c>
      <c r="N52" s="151">
        <f t="shared" si="5"/>
        <v>90</v>
      </c>
      <c r="O52" s="151"/>
      <c r="P52" s="168">
        <f t="shared" si="4"/>
        <v>54.3747</v>
      </c>
      <c r="R52">
        <v>10000</v>
      </c>
    </row>
    <row r="53" customHeight="1" spans="1:18">
      <c r="A53" s="149">
        <v>50</v>
      </c>
      <c r="B53" s="161" t="s">
        <v>407</v>
      </c>
      <c r="C53" s="162">
        <v>160</v>
      </c>
      <c r="D53" s="163"/>
      <c r="E53" s="163">
        <v>90</v>
      </c>
      <c r="F53" s="163"/>
      <c r="G53" s="164">
        <v>70</v>
      </c>
      <c r="H53" s="165">
        <v>15.6253</v>
      </c>
      <c r="I53" s="157"/>
      <c r="J53" s="157"/>
      <c r="K53" s="166">
        <v>-15.6253</v>
      </c>
      <c r="L53" s="167">
        <f t="shared" si="0"/>
        <v>160</v>
      </c>
      <c r="M53" s="151">
        <f t="shared" si="1"/>
        <v>15.6253</v>
      </c>
      <c r="N53" s="151">
        <f t="shared" si="5"/>
        <v>90</v>
      </c>
      <c r="O53" s="151"/>
      <c r="P53" s="168">
        <f t="shared" si="4"/>
        <v>54.3747</v>
      </c>
      <c r="R53">
        <v>10000</v>
      </c>
    </row>
    <row r="54" customHeight="1" spans="1:18">
      <c r="A54" s="149">
        <v>51</v>
      </c>
      <c r="B54" s="161" t="s">
        <v>408</v>
      </c>
      <c r="C54" s="162">
        <v>80</v>
      </c>
      <c r="D54" s="163"/>
      <c r="E54" s="163">
        <v>45</v>
      </c>
      <c r="F54" s="163"/>
      <c r="G54" s="164">
        <v>35</v>
      </c>
      <c r="H54" s="165">
        <v>7.9772</v>
      </c>
      <c r="I54" s="157"/>
      <c r="J54" s="157"/>
      <c r="K54" s="166">
        <v>-7.9772</v>
      </c>
      <c r="L54" s="167">
        <f t="shared" si="0"/>
        <v>80</v>
      </c>
      <c r="M54" s="151">
        <f t="shared" si="1"/>
        <v>7.9772</v>
      </c>
      <c r="N54" s="151">
        <f t="shared" si="5"/>
        <v>45</v>
      </c>
      <c r="O54" s="151"/>
      <c r="P54" s="168">
        <f t="shared" si="4"/>
        <v>27.0228</v>
      </c>
      <c r="R54">
        <v>10000</v>
      </c>
    </row>
    <row r="55" customHeight="1" spans="1:18">
      <c r="A55" s="149">
        <v>52</v>
      </c>
      <c r="B55" s="161" t="s">
        <v>409</v>
      </c>
      <c r="C55" s="162">
        <v>80</v>
      </c>
      <c r="D55" s="163"/>
      <c r="E55" s="163">
        <v>45</v>
      </c>
      <c r="F55" s="163"/>
      <c r="G55" s="164">
        <v>35</v>
      </c>
      <c r="H55" s="165">
        <v>7.9772</v>
      </c>
      <c r="I55" s="157"/>
      <c r="J55" s="157"/>
      <c r="K55" s="166">
        <v>-7.9772</v>
      </c>
      <c r="L55" s="167">
        <f t="shared" si="0"/>
        <v>80</v>
      </c>
      <c r="M55" s="151">
        <f t="shared" si="1"/>
        <v>7.9772</v>
      </c>
      <c r="N55" s="151">
        <f t="shared" si="5"/>
        <v>45</v>
      </c>
      <c r="O55" s="151"/>
      <c r="P55" s="168">
        <f t="shared" si="4"/>
        <v>27.0228</v>
      </c>
      <c r="R55">
        <v>10000</v>
      </c>
    </row>
    <row r="56" customHeight="1" spans="1:18">
      <c r="A56" s="149">
        <v>53</v>
      </c>
      <c r="B56" s="161" t="s">
        <v>410</v>
      </c>
      <c r="C56" s="162">
        <v>80</v>
      </c>
      <c r="D56" s="163"/>
      <c r="E56" s="163">
        <v>45</v>
      </c>
      <c r="F56" s="163"/>
      <c r="G56" s="164">
        <v>35</v>
      </c>
      <c r="H56" s="165">
        <v>2.1443</v>
      </c>
      <c r="I56" s="157">
        <v>5.7706</v>
      </c>
      <c r="J56" s="157"/>
      <c r="K56" s="166">
        <v>-7.9149</v>
      </c>
      <c r="L56" s="167">
        <f t="shared" si="0"/>
        <v>80</v>
      </c>
      <c r="M56" s="151">
        <f t="shared" si="1"/>
        <v>2.1443</v>
      </c>
      <c r="N56" s="151">
        <f t="shared" si="5"/>
        <v>50.7706</v>
      </c>
      <c r="O56" s="151"/>
      <c r="P56" s="168">
        <f t="shared" si="4"/>
        <v>27.0851</v>
      </c>
      <c r="R56">
        <v>10000</v>
      </c>
    </row>
    <row r="57" customFormat="1" customHeight="1" spans="1:18">
      <c r="A57" s="149">
        <v>54</v>
      </c>
      <c r="B57" s="161" t="s">
        <v>411</v>
      </c>
      <c r="C57" s="162">
        <v>60</v>
      </c>
      <c r="D57" s="163"/>
      <c r="E57" s="163"/>
      <c r="F57" s="163"/>
      <c r="G57" s="164">
        <v>60</v>
      </c>
      <c r="H57" s="165"/>
      <c r="I57" s="157">
        <v>50</v>
      </c>
      <c r="J57" s="157"/>
      <c r="K57" s="166">
        <v>-50</v>
      </c>
      <c r="L57" s="167">
        <v>60</v>
      </c>
      <c r="M57" s="151"/>
      <c r="N57" s="151">
        <v>50</v>
      </c>
      <c r="O57" s="151"/>
      <c r="P57" s="168">
        <v>10</v>
      </c>
    </row>
    <row r="58" s="160" customFormat="1" customHeight="1" spans="1:18">
      <c r="A58" s="170"/>
      <c r="B58" s="171" t="s">
        <v>285</v>
      </c>
      <c r="C58" s="172">
        <f t="shared" ref="C58:P58" si="6">SUM(C4:C57)</f>
        <v>5260</v>
      </c>
      <c r="D58" s="173">
        <f t="shared" si="6"/>
        <v>2300</v>
      </c>
      <c r="E58" s="173">
        <f t="shared" si="6"/>
        <v>615</v>
      </c>
      <c r="F58" s="173">
        <f t="shared" si="6"/>
        <v>938</v>
      </c>
      <c r="G58" s="174">
        <f t="shared" si="6"/>
        <v>1407</v>
      </c>
      <c r="H58" s="175">
        <f t="shared" si="6"/>
        <v>418</v>
      </c>
      <c r="I58" s="176">
        <f t="shared" si="6"/>
        <v>146.9421</v>
      </c>
      <c r="J58" s="176">
        <f t="shared" si="6"/>
        <v>-91.1715</v>
      </c>
      <c r="K58" s="177">
        <f t="shared" si="6"/>
        <v>-473.7706</v>
      </c>
      <c r="L58" s="178">
        <f t="shared" si="6"/>
        <v>5260</v>
      </c>
      <c r="M58" s="170">
        <f t="shared" si="6"/>
        <v>2718</v>
      </c>
      <c r="N58" s="170">
        <f t="shared" si="6"/>
        <v>761.9421</v>
      </c>
      <c r="O58" s="170">
        <f t="shared" si="6"/>
        <v>846.8285</v>
      </c>
      <c r="P58" s="179">
        <f t="shared" si="6"/>
        <v>933.2294</v>
      </c>
      <c r="R58">
        <v>10000</v>
      </c>
    </row>
    <row r="59" customHeight="1" spans="1:18">
      <c r="A59" s="149">
        <v>54</v>
      </c>
      <c r="B59" s="161" t="s">
        <v>412</v>
      </c>
      <c r="C59" s="180">
        <f>D59+E59+F59</f>
        <v>50</v>
      </c>
      <c r="D59" s="181">
        <v>50</v>
      </c>
      <c r="E59" s="181"/>
      <c r="F59" s="181"/>
      <c r="G59" s="182"/>
      <c r="H59" s="165">
        <v>-50</v>
      </c>
      <c r="I59" s="157"/>
      <c r="J59" s="157"/>
      <c r="K59" s="166">
        <v>50</v>
      </c>
      <c r="L59" s="167">
        <f>+M59+N59+O59+P59</f>
        <v>50</v>
      </c>
      <c r="M59" s="151"/>
      <c r="N59" s="151"/>
      <c r="O59" s="151"/>
      <c r="P59" s="168">
        <f>+G59+K59</f>
        <v>50</v>
      </c>
      <c r="R59">
        <v>10000</v>
      </c>
    </row>
    <row r="60" customHeight="1" spans="1:18">
      <c r="A60" s="149">
        <v>55</v>
      </c>
      <c r="B60" s="169" t="s">
        <v>266</v>
      </c>
      <c r="C60" s="180">
        <f>D60+E60+F60</f>
        <v>20</v>
      </c>
      <c r="D60" s="181">
        <v>20</v>
      </c>
      <c r="E60" s="181"/>
      <c r="F60" s="181"/>
      <c r="G60" s="182"/>
      <c r="H60" s="165">
        <v>-20</v>
      </c>
      <c r="I60" s="157"/>
      <c r="J60" s="157"/>
      <c r="K60" s="166">
        <v>20</v>
      </c>
      <c r="L60" s="167">
        <f>+M60+N60+O60+P60</f>
        <v>20</v>
      </c>
      <c r="M60" s="151"/>
      <c r="N60" s="151"/>
      <c r="O60" s="151"/>
      <c r="P60" s="168">
        <f>+G60+K60</f>
        <v>20</v>
      </c>
      <c r="R60">
        <v>10000</v>
      </c>
    </row>
    <row r="61" customHeight="1" spans="1:18">
      <c r="A61" s="149">
        <v>56</v>
      </c>
      <c r="B61" s="169" t="s">
        <v>413</v>
      </c>
      <c r="C61" s="180">
        <f>D61+E61+F61</f>
        <v>20</v>
      </c>
      <c r="D61" s="181">
        <v>20</v>
      </c>
      <c r="E61" s="181"/>
      <c r="F61" s="181"/>
      <c r="G61" s="182"/>
      <c r="H61" s="165">
        <v>-20</v>
      </c>
      <c r="I61" s="157"/>
      <c r="J61" s="157"/>
      <c r="K61" s="166">
        <v>20</v>
      </c>
      <c r="L61" s="167">
        <f>+M61+N61+O61+P61</f>
        <v>20</v>
      </c>
      <c r="M61" s="151"/>
      <c r="N61" s="151"/>
      <c r="O61" s="151"/>
      <c r="P61" s="168">
        <f>+G61+K61</f>
        <v>20</v>
      </c>
      <c r="R61">
        <v>10000</v>
      </c>
    </row>
    <row r="62" customHeight="1" spans="1:18">
      <c r="A62" s="149">
        <v>57</v>
      </c>
      <c r="B62" s="169" t="s">
        <v>273</v>
      </c>
      <c r="C62" s="180">
        <f>D62+E62+F62</f>
        <v>20</v>
      </c>
      <c r="D62" s="181">
        <v>20</v>
      </c>
      <c r="E62" s="181"/>
      <c r="F62" s="181"/>
      <c r="G62" s="182"/>
      <c r="H62" s="165">
        <v>-20</v>
      </c>
      <c r="I62" s="157"/>
      <c r="J62" s="157"/>
      <c r="K62" s="166">
        <v>20</v>
      </c>
      <c r="L62" s="167">
        <f>+M62+N62+O62+P62</f>
        <v>20</v>
      </c>
      <c r="M62" s="151"/>
      <c r="N62" s="151"/>
      <c r="O62" s="151"/>
      <c r="P62" s="168">
        <f>+G62+K62</f>
        <v>20</v>
      </c>
      <c r="R62">
        <v>10000</v>
      </c>
    </row>
    <row r="63" customHeight="1" spans="1:18">
      <c r="A63" s="149">
        <v>58</v>
      </c>
      <c r="B63" s="169" t="s">
        <v>276</v>
      </c>
      <c r="C63" s="180">
        <v>2000</v>
      </c>
      <c r="D63" s="181">
        <v>308</v>
      </c>
      <c r="E63" s="181">
        <v>310</v>
      </c>
      <c r="F63" s="181"/>
      <c r="G63" s="182">
        <v>1382</v>
      </c>
      <c r="H63" s="165">
        <v>-308</v>
      </c>
      <c r="I63" s="157">
        <f>-96.9421-50</f>
        <v>-146.9421</v>
      </c>
      <c r="J63" s="157">
        <v>91.1715</v>
      </c>
      <c r="K63" s="166">
        <f>50+313.7706</f>
        <v>363.7706</v>
      </c>
      <c r="L63" s="167">
        <f>+M63+N63+O63+P63</f>
        <v>2000</v>
      </c>
      <c r="M63" s="151"/>
      <c r="N63" s="151">
        <f>+E63+I63</f>
        <v>163.0579</v>
      </c>
      <c r="O63" s="151">
        <f>+F63+J63</f>
        <v>91.1715</v>
      </c>
      <c r="P63" s="168">
        <f>+G63+K63</f>
        <v>1745.7706</v>
      </c>
      <c r="R63">
        <v>10000</v>
      </c>
    </row>
    <row r="64" s="134" customFormat="1" customHeight="1" spans="1:18">
      <c r="A64" s="170"/>
      <c r="B64" s="183" t="s">
        <v>285</v>
      </c>
      <c r="C64" s="184">
        <f>SUM(C59:C63)</f>
        <v>2110</v>
      </c>
      <c r="D64" s="185">
        <f>SUM(D59:D63)</f>
        <v>418</v>
      </c>
      <c r="E64" s="185">
        <f>SUM(E59:E63)</f>
        <v>310</v>
      </c>
      <c r="F64" s="185"/>
      <c r="G64" s="186">
        <f t="shared" ref="G64:L64" si="7">SUM(G59:G63)</f>
        <v>1382</v>
      </c>
      <c r="H64" s="187">
        <f t="shared" si="7"/>
        <v>-418</v>
      </c>
      <c r="I64" s="188">
        <f t="shared" si="7"/>
        <v>-146.9421</v>
      </c>
      <c r="J64" s="188">
        <f t="shared" si="7"/>
        <v>91.1715</v>
      </c>
      <c r="K64" s="189">
        <f t="shared" si="7"/>
        <v>473.7706</v>
      </c>
      <c r="L64" s="184">
        <f t="shared" si="7"/>
        <v>2110</v>
      </c>
      <c r="M64" s="185"/>
      <c r="N64" s="185">
        <f>SUM(N59:N63)</f>
        <v>163.0579</v>
      </c>
      <c r="O64" s="185">
        <f>SUM(O59:O63)</f>
        <v>91.1715</v>
      </c>
      <c r="P64" s="186">
        <f>SUM(P59:P63)</f>
        <v>1855.7706</v>
      </c>
      <c r="R64">
        <v>10000</v>
      </c>
    </row>
    <row r="66" customHeight="1" spans="1:18">
      <c r="B66" s="155" t="s">
        <v>289</v>
      </c>
      <c r="C66" s="155">
        <v>5200</v>
      </c>
      <c r="D66" s="155">
        <v>2300</v>
      </c>
      <c r="E66" s="155">
        <v>615</v>
      </c>
      <c r="F66" s="155">
        <v>938</v>
      </c>
      <c r="G66" s="155">
        <v>1347</v>
      </c>
      <c r="H66" s="155">
        <v>418</v>
      </c>
      <c r="I66" s="155">
        <v>96.9421</v>
      </c>
      <c r="J66" s="155">
        <v>-91.1715</v>
      </c>
      <c r="K66" s="155">
        <v>-423.7706</v>
      </c>
      <c r="L66" s="155">
        <v>5200</v>
      </c>
      <c r="M66" s="155">
        <v>2718</v>
      </c>
      <c r="N66" s="155">
        <v>711.9421</v>
      </c>
      <c r="O66" s="155">
        <v>846.8285</v>
      </c>
      <c r="P66" s="155">
        <v>923.2294</v>
      </c>
    </row>
    <row r="68" customHeight="1" spans="1:18">
      <c r="B68" s="190" t="s">
        <v>414</v>
      </c>
    </row>
    <row r="69" customFormat="1" customHeight="1" spans="1:18">
      <c r="A69" s="149">
        <v>1</v>
      </c>
      <c r="B69" s="169" t="s">
        <v>276</v>
      </c>
      <c r="C69" s="191">
        <f>+E69+D69+F69+G69</f>
        <v>2000</v>
      </c>
      <c r="D69" s="192"/>
      <c r="E69" s="192">
        <v>163.0579</v>
      </c>
      <c r="F69" s="192">
        <v>91.1715</v>
      </c>
      <c r="G69" s="193">
        <v>1745.7706</v>
      </c>
      <c r="H69" s="194"/>
      <c r="I69" s="195">
        <v>-163.0579</v>
      </c>
      <c r="J69" s="195"/>
      <c r="K69" s="196">
        <v>163.0579</v>
      </c>
      <c r="L69" s="191">
        <f>+M69+N69+O69+P69</f>
        <v>2000</v>
      </c>
      <c r="M69" s="192"/>
      <c r="N69" s="192"/>
      <c r="O69" s="192">
        <f>+F69+J69</f>
        <v>91.1715</v>
      </c>
      <c r="P69" s="193">
        <f>+G69+K69</f>
        <v>1908.8285</v>
      </c>
      <c r="R69">
        <v>10000</v>
      </c>
    </row>
    <row r="70" customHeight="1" spans="1:18">
      <c r="A70" s="149">
        <v>2</v>
      </c>
      <c r="B70" s="152" t="s">
        <v>307</v>
      </c>
      <c r="C70" s="167">
        <f>+E70+D70+F70+G70</f>
        <v>251.46</v>
      </c>
      <c r="D70" s="151"/>
      <c r="E70" s="151">
        <v>251.46</v>
      </c>
      <c r="F70" s="151"/>
      <c r="G70" s="168"/>
      <c r="H70" s="167"/>
      <c r="I70" s="151">
        <v>-251.46</v>
      </c>
      <c r="J70" s="151"/>
      <c r="K70" s="168">
        <v>251.46</v>
      </c>
      <c r="L70" s="167">
        <f>+M70+N70+O70+P70</f>
        <v>251.46</v>
      </c>
      <c r="M70" s="151"/>
      <c r="N70" s="151"/>
      <c r="O70" s="151"/>
      <c r="P70" s="168">
        <f>+G70+K70</f>
        <v>251.46</v>
      </c>
    </row>
    <row r="71" customHeight="1" spans="1:18">
      <c r="A71" s="149">
        <v>3</v>
      </c>
      <c r="B71" s="152" t="s">
        <v>415</v>
      </c>
      <c r="C71" s="197">
        <f>+E71+D71+F71+G71</f>
        <v>2696</v>
      </c>
      <c r="D71" s="198"/>
      <c r="E71" s="198"/>
      <c r="F71" s="198"/>
      <c r="G71" s="199">
        <v>2696</v>
      </c>
      <c r="H71" s="197"/>
      <c r="I71" s="198">
        <f>251.46+163.0579</f>
        <v>414.5179</v>
      </c>
      <c r="J71" s="198"/>
      <c r="K71" s="199">
        <f>-251.46-163.0579</f>
        <v>-414.5179</v>
      </c>
      <c r="L71" s="197">
        <f>+M71+N71+O71+P71</f>
        <v>2696</v>
      </c>
      <c r="M71" s="198"/>
      <c r="N71" s="198">
        <f>+E71+I71</f>
        <v>414.5179</v>
      </c>
      <c r="O71" s="198"/>
      <c r="P71" s="199">
        <f>+G71+K71</f>
        <v>2281.4821</v>
      </c>
    </row>
  </sheetData>
  <mergeCells count="6">
    <mergeCell ref="A1:P1"/>
    <mergeCell ref="C2:G2"/>
    <mergeCell ref="H2:K2"/>
    <mergeCell ref="L2:P2"/>
    <mergeCell ref="A2:A3"/>
    <mergeCell ref="B2:B3"/>
  </mergeCells>
  <pageMargins left="0.354166666666667" right="0.275" top="0.629861111111111" bottom="0.511805555555556" header="0.5" footer="0.5"/>
  <pageSetup paperSize="9" scale="71"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9"/>
  <sheetViews>
    <sheetView tabSelected="1" workbookViewId="0">
      <pane xSplit="2" ySplit="4" topLeftCell="C5" activePane="bottomRight" state="frozen"/>
      <selection/>
      <selection pane="topRight"/>
      <selection pane="bottomLeft"/>
      <selection pane="bottomRight" activeCell="F6" sqref="F6"/>
    </sheetView>
  </sheetViews>
  <sheetFormatPr defaultColWidth="9" defaultRowHeight="24" customHeight="1"/>
  <cols>
    <col min="1" max="1" width="7.25" style="134" customWidth="1"/>
    <col min="2" max="2" width="35.375" customWidth="1"/>
    <col min="3" max="4" width="9.375"/>
    <col min="7" max="7" width="9.375"/>
    <col min="8" max="9" width="10.875" customWidth="1"/>
    <col min="10" max="11" width="12.125" customWidth="1"/>
    <col min="12" max="12" width="13" customWidth="1"/>
    <col min="13" max="13" width="11.125"/>
    <col min="14" max="14" width="9.375"/>
    <col min="15" max="16" width="11.125"/>
    <col min="17" max="17" width="9.375"/>
    <col min="18" max="18" width="9" hidden="1" customWidth="1"/>
  </cols>
  <sheetData>
    <row r="1" customHeight="1" spans="1:16">
      <c r="A1" s="135" t="s">
        <v>416</v>
      </c>
    </row>
    <row r="2" ht="57" customHeight="1" spans="1:16">
      <c r="A2" s="136" t="s">
        <v>417</v>
      </c>
      <c r="B2" s="136"/>
      <c r="C2" s="136"/>
      <c r="D2" s="136"/>
      <c r="E2" s="136"/>
      <c r="F2" s="136"/>
      <c r="G2" s="136"/>
      <c r="H2" s="136"/>
      <c r="I2" s="136"/>
      <c r="J2" s="136"/>
      <c r="K2" s="136"/>
      <c r="L2" s="136"/>
      <c r="M2" s="136"/>
      <c r="N2" s="136"/>
      <c r="O2" s="136"/>
      <c r="P2" s="136"/>
    </row>
    <row r="3" customHeight="1" spans="1:16">
      <c r="A3" s="137" t="s">
        <v>2</v>
      </c>
      <c r="B3" s="49" t="s">
        <v>5</v>
      </c>
      <c r="C3" s="138" t="s">
        <v>354</v>
      </c>
      <c r="D3" s="139"/>
      <c r="E3" s="139"/>
      <c r="F3" s="139"/>
      <c r="G3" s="140"/>
      <c r="H3" s="141" t="s">
        <v>355</v>
      </c>
      <c r="I3" s="142"/>
      <c r="J3" s="142"/>
      <c r="K3" s="143"/>
      <c r="L3" s="144" t="s">
        <v>356</v>
      </c>
      <c r="M3" s="145"/>
      <c r="N3" s="145"/>
      <c r="O3" s="145"/>
      <c r="P3" s="146"/>
    </row>
    <row r="4" customHeight="1" spans="1:16">
      <c r="A4" s="137"/>
      <c r="B4" s="49"/>
      <c r="C4" s="147" t="s">
        <v>285</v>
      </c>
      <c r="D4" s="12" t="s">
        <v>37</v>
      </c>
      <c r="E4" s="12" t="s">
        <v>38</v>
      </c>
      <c r="F4" s="12" t="s">
        <v>39</v>
      </c>
      <c r="G4" s="49" t="s">
        <v>357</v>
      </c>
      <c r="H4" s="12" t="s">
        <v>37</v>
      </c>
      <c r="I4" s="12" t="s">
        <v>38</v>
      </c>
      <c r="J4" s="12" t="s">
        <v>39</v>
      </c>
      <c r="K4" s="12" t="s">
        <v>357</v>
      </c>
      <c r="L4" s="48" t="s">
        <v>285</v>
      </c>
      <c r="M4" s="12" t="s">
        <v>37</v>
      </c>
      <c r="N4" s="12" t="s">
        <v>38</v>
      </c>
      <c r="O4" s="12" t="s">
        <v>39</v>
      </c>
      <c r="P4" s="148" t="s">
        <v>357</v>
      </c>
    </row>
    <row r="5" customHeight="1" spans="1:16">
      <c r="A5" s="149">
        <v>1</v>
      </c>
      <c r="B5" s="150" t="s">
        <v>358</v>
      </c>
      <c r="C5" s="151">
        <v>80</v>
      </c>
      <c r="D5" s="151">
        <v>50</v>
      </c>
      <c r="E5" s="151">
        <v>2.9616</v>
      </c>
      <c r="F5" s="151">
        <v>27.0384</v>
      </c>
      <c r="G5" s="152"/>
      <c r="H5" s="153"/>
      <c r="I5" s="153"/>
      <c r="J5" s="154">
        <v>-7.62200699999999</v>
      </c>
      <c r="K5" s="155"/>
      <c r="L5" s="156">
        <f>+M5+N5+O5+P5</f>
        <v>72.377993</v>
      </c>
      <c r="M5" s="156">
        <f>+D5+H5</f>
        <v>50</v>
      </c>
      <c r="N5" s="156">
        <f>+E5+I5</f>
        <v>2.9616</v>
      </c>
      <c r="O5" s="156">
        <f>+F5+J5</f>
        <v>19.416393</v>
      </c>
      <c r="P5" s="156"/>
    </row>
    <row r="6" customHeight="1" spans="1:16">
      <c r="A6" s="149">
        <v>2</v>
      </c>
      <c r="B6" s="150" t="s">
        <v>359</v>
      </c>
      <c r="C6" s="151">
        <v>80</v>
      </c>
      <c r="D6" s="151">
        <v>50</v>
      </c>
      <c r="E6" s="151">
        <v>2.9616</v>
      </c>
      <c r="F6" s="151">
        <v>27.0384</v>
      </c>
      <c r="G6" s="152"/>
      <c r="H6" s="151"/>
      <c r="I6" s="151"/>
      <c r="J6" s="157">
        <v>-7.62200699999999</v>
      </c>
      <c r="K6" s="155"/>
      <c r="L6" s="156">
        <f t="shared" ref="L6:L35" si="0">+M6+N6+O6+P6</f>
        <v>72.377993</v>
      </c>
      <c r="M6" s="156">
        <f t="shared" ref="M6:M35" si="1">+D6+H6</f>
        <v>50</v>
      </c>
      <c r="N6" s="156">
        <f t="shared" ref="N6:N34" si="2">+E6+I6</f>
        <v>2.9616</v>
      </c>
      <c r="O6" s="156">
        <f t="shared" ref="O6:O34" si="3">+F6+J6</f>
        <v>19.416393</v>
      </c>
      <c r="P6" s="156"/>
    </row>
    <row r="7" customHeight="1" spans="1:16">
      <c r="A7" s="149">
        <v>3</v>
      </c>
      <c r="B7" s="150" t="s">
        <v>360</v>
      </c>
      <c r="C7" s="151">
        <v>80</v>
      </c>
      <c r="D7" s="151">
        <v>50</v>
      </c>
      <c r="E7" s="151">
        <v>2.9772</v>
      </c>
      <c r="F7" s="151">
        <v>27.0228</v>
      </c>
      <c r="G7" s="152"/>
      <c r="H7" s="151"/>
      <c r="I7" s="151"/>
      <c r="J7" s="157">
        <v>-7.480603</v>
      </c>
      <c r="K7" s="155"/>
      <c r="L7" s="156">
        <f t="shared" si="0"/>
        <v>72.519397</v>
      </c>
      <c r="M7" s="156">
        <f t="shared" si="1"/>
        <v>50</v>
      </c>
      <c r="N7" s="156">
        <f t="shared" si="2"/>
        <v>2.9772</v>
      </c>
      <c r="O7" s="156">
        <f t="shared" si="3"/>
        <v>19.542197</v>
      </c>
      <c r="P7" s="156"/>
    </row>
    <row r="8" customHeight="1" spans="1:16">
      <c r="A8" s="149">
        <v>4</v>
      </c>
      <c r="B8" s="150" t="s">
        <v>361</v>
      </c>
      <c r="C8" s="151">
        <v>160</v>
      </c>
      <c r="D8" s="151">
        <v>100</v>
      </c>
      <c r="E8" s="151">
        <v>5.9543</v>
      </c>
      <c r="F8" s="151">
        <v>54.0457</v>
      </c>
      <c r="G8" s="152"/>
      <c r="H8" s="151"/>
      <c r="I8" s="151"/>
      <c r="J8" s="157">
        <v>-14.961204</v>
      </c>
      <c r="K8" s="155"/>
      <c r="L8" s="156">
        <f t="shared" si="0"/>
        <v>145.038796</v>
      </c>
      <c r="M8" s="156">
        <f t="shared" si="1"/>
        <v>100</v>
      </c>
      <c r="N8" s="156">
        <f t="shared" si="2"/>
        <v>5.9543</v>
      </c>
      <c r="O8" s="156">
        <f t="shared" si="3"/>
        <v>39.084496</v>
      </c>
      <c r="P8" s="156"/>
    </row>
    <row r="9" customHeight="1" spans="1:16">
      <c r="A9" s="149">
        <v>5</v>
      </c>
      <c r="B9" s="150" t="s">
        <v>362</v>
      </c>
      <c r="C9" s="151">
        <v>80</v>
      </c>
      <c r="D9" s="151">
        <v>50</v>
      </c>
      <c r="E9" s="151">
        <v>2.9149</v>
      </c>
      <c r="F9" s="151">
        <v>27.0851</v>
      </c>
      <c r="G9" s="152"/>
      <c r="H9" s="151"/>
      <c r="I9" s="151"/>
      <c r="J9" s="157">
        <v>-8.046055</v>
      </c>
      <c r="K9" s="155"/>
      <c r="L9" s="156">
        <f t="shared" si="0"/>
        <v>71.953945</v>
      </c>
      <c r="M9" s="156">
        <f t="shared" si="1"/>
        <v>50</v>
      </c>
      <c r="N9" s="156">
        <f t="shared" si="2"/>
        <v>2.9149</v>
      </c>
      <c r="O9" s="156">
        <f t="shared" si="3"/>
        <v>19.039045</v>
      </c>
      <c r="P9" s="156"/>
    </row>
    <row r="10" customHeight="1" spans="1:16">
      <c r="A10" s="149">
        <v>6</v>
      </c>
      <c r="B10" s="150" t="s">
        <v>363</v>
      </c>
      <c r="C10" s="151">
        <v>80</v>
      </c>
      <c r="D10" s="151">
        <v>50</v>
      </c>
      <c r="E10" s="151">
        <v>2.9772</v>
      </c>
      <c r="F10" s="151">
        <v>27.0228</v>
      </c>
      <c r="G10" s="152"/>
      <c r="H10" s="151"/>
      <c r="I10" s="151"/>
      <c r="J10" s="157">
        <v>-7.480603</v>
      </c>
      <c r="K10" s="155"/>
      <c r="L10" s="156">
        <f t="shared" si="0"/>
        <v>72.519397</v>
      </c>
      <c r="M10" s="156">
        <f t="shared" si="1"/>
        <v>50</v>
      </c>
      <c r="N10" s="156">
        <f t="shared" si="2"/>
        <v>2.9772</v>
      </c>
      <c r="O10" s="156">
        <f t="shared" si="3"/>
        <v>19.542197</v>
      </c>
      <c r="P10" s="156"/>
    </row>
    <row r="11" customHeight="1" spans="1:16">
      <c r="A11" s="149">
        <v>7</v>
      </c>
      <c r="B11" s="150" t="s">
        <v>364</v>
      </c>
      <c r="C11" s="151">
        <v>80</v>
      </c>
      <c r="D11" s="151">
        <v>50</v>
      </c>
      <c r="E11" s="151">
        <v>2.9149</v>
      </c>
      <c r="F11" s="151">
        <v>27.0851</v>
      </c>
      <c r="G11" s="152"/>
      <c r="H11" s="151"/>
      <c r="I11" s="151"/>
      <c r="J11" s="157">
        <v>-8.046055</v>
      </c>
      <c r="K11" s="155"/>
      <c r="L11" s="156">
        <f t="shared" si="0"/>
        <v>71.953945</v>
      </c>
      <c r="M11" s="156">
        <f t="shared" si="1"/>
        <v>50</v>
      </c>
      <c r="N11" s="156">
        <f t="shared" si="2"/>
        <v>2.9149</v>
      </c>
      <c r="O11" s="156">
        <f t="shared" si="3"/>
        <v>19.039045</v>
      </c>
      <c r="P11" s="156"/>
    </row>
    <row r="12" customHeight="1" spans="1:16">
      <c r="A12" s="149">
        <v>8</v>
      </c>
      <c r="B12" s="150" t="s">
        <v>365</v>
      </c>
      <c r="C12" s="151">
        <v>80</v>
      </c>
      <c r="D12" s="151">
        <v>50</v>
      </c>
      <c r="E12" s="151">
        <v>2.9616</v>
      </c>
      <c r="F12" s="151">
        <v>27.0384</v>
      </c>
      <c r="G12" s="152"/>
      <c r="H12" s="151"/>
      <c r="I12" s="151"/>
      <c r="J12" s="157">
        <v>-7.62200699999999</v>
      </c>
      <c r="K12" s="155"/>
      <c r="L12" s="156">
        <f t="shared" si="0"/>
        <v>72.377993</v>
      </c>
      <c r="M12" s="156">
        <f t="shared" si="1"/>
        <v>50</v>
      </c>
      <c r="N12" s="156">
        <f t="shared" si="2"/>
        <v>2.9616</v>
      </c>
      <c r="O12" s="156">
        <f t="shared" si="3"/>
        <v>19.416393</v>
      </c>
      <c r="P12" s="156"/>
    </row>
    <row r="13" customHeight="1" spans="1:16">
      <c r="A13" s="149">
        <v>9</v>
      </c>
      <c r="B13" s="150" t="s">
        <v>366</v>
      </c>
      <c r="C13" s="151">
        <v>80</v>
      </c>
      <c r="D13" s="151">
        <v>50</v>
      </c>
      <c r="E13" s="151">
        <v>2.9772</v>
      </c>
      <c r="F13" s="151">
        <v>27.0228</v>
      </c>
      <c r="G13" s="152"/>
      <c r="H13" s="151"/>
      <c r="I13" s="151"/>
      <c r="J13" s="157">
        <v>-7.480603</v>
      </c>
      <c r="K13" s="155"/>
      <c r="L13" s="156">
        <f t="shared" si="0"/>
        <v>72.519397</v>
      </c>
      <c r="M13" s="156">
        <f t="shared" si="1"/>
        <v>50</v>
      </c>
      <c r="N13" s="156">
        <f t="shared" si="2"/>
        <v>2.9772</v>
      </c>
      <c r="O13" s="156">
        <f t="shared" si="3"/>
        <v>19.542197</v>
      </c>
      <c r="P13" s="156"/>
    </row>
    <row r="14" customHeight="1" spans="1:16">
      <c r="A14" s="149">
        <v>10</v>
      </c>
      <c r="B14" s="150" t="s">
        <v>367</v>
      </c>
      <c r="C14" s="151">
        <v>80</v>
      </c>
      <c r="D14" s="151">
        <v>50</v>
      </c>
      <c r="E14" s="151">
        <v>2.9149</v>
      </c>
      <c r="F14" s="151">
        <v>27.0851</v>
      </c>
      <c r="G14" s="152"/>
      <c r="H14" s="151"/>
      <c r="I14" s="151"/>
      <c r="J14" s="157">
        <v>-8.046055</v>
      </c>
      <c r="K14" s="155"/>
      <c r="L14" s="156">
        <f t="shared" si="0"/>
        <v>71.953945</v>
      </c>
      <c r="M14" s="156">
        <f t="shared" si="1"/>
        <v>50</v>
      </c>
      <c r="N14" s="156">
        <f t="shared" si="2"/>
        <v>2.9149</v>
      </c>
      <c r="O14" s="156">
        <f t="shared" si="3"/>
        <v>19.039045</v>
      </c>
      <c r="P14" s="156"/>
    </row>
    <row r="15" customHeight="1" spans="1:16">
      <c r="A15" s="149">
        <v>11</v>
      </c>
      <c r="B15" s="150" t="s">
        <v>368</v>
      </c>
      <c r="C15" s="151">
        <v>80</v>
      </c>
      <c r="D15" s="151">
        <v>50</v>
      </c>
      <c r="E15" s="151">
        <v>2.9149</v>
      </c>
      <c r="F15" s="151">
        <v>27.0851</v>
      </c>
      <c r="G15" s="152"/>
      <c r="H15" s="151"/>
      <c r="I15" s="151"/>
      <c r="J15" s="157">
        <v>-8.046055</v>
      </c>
      <c r="K15" s="155"/>
      <c r="L15" s="156">
        <f t="shared" si="0"/>
        <v>71.953945</v>
      </c>
      <c r="M15" s="156">
        <f t="shared" si="1"/>
        <v>50</v>
      </c>
      <c r="N15" s="156">
        <f t="shared" si="2"/>
        <v>2.9149</v>
      </c>
      <c r="O15" s="156">
        <f t="shared" si="3"/>
        <v>19.039045</v>
      </c>
      <c r="P15" s="156"/>
    </row>
    <row r="16" customHeight="1" spans="1:16">
      <c r="A16" s="149">
        <v>12</v>
      </c>
      <c r="B16" s="150" t="s">
        <v>369</v>
      </c>
      <c r="C16" s="151">
        <v>80</v>
      </c>
      <c r="D16" s="151">
        <v>50</v>
      </c>
      <c r="E16" s="151">
        <v>2.9149</v>
      </c>
      <c r="F16" s="151">
        <v>27.0851</v>
      </c>
      <c r="G16" s="152"/>
      <c r="H16" s="151"/>
      <c r="I16" s="151"/>
      <c r="J16" s="157">
        <v>-8.046055</v>
      </c>
      <c r="K16" s="155"/>
      <c r="L16" s="156">
        <f t="shared" si="0"/>
        <v>71.953945</v>
      </c>
      <c r="M16" s="156">
        <f t="shared" si="1"/>
        <v>50</v>
      </c>
      <c r="N16" s="156">
        <f t="shared" si="2"/>
        <v>2.9149</v>
      </c>
      <c r="O16" s="156">
        <f t="shared" si="3"/>
        <v>19.039045</v>
      </c>
      <c r="P16" s="156"/>
    </row>
    <row r="17" customHeight="1" spans="1:16">
      <c r="A17" s="149">
        <v>13</v>
      </c>
      <c r="B17" s="150" t="s">
        <v>370</v>
      </c>
      <c r="C17" s="151">
        <v>80</v>
      </c>
      <c r="D17" s="151">
        <v>50</v>
      </c>
      <c r="E17" s="151">
        <v>2.9149</v>
      </c>
      <c r="F17" s="151">
        <v>27.0851</v>
      </c>
      <c r="G17" s="152"/>
      <c r="H17" s="151"/>
      <c r="I17" s="151"/>
      <c r="J17" s="157">
        <v>-8.046055</v>
      </c>
      <c r="K17" s="155"/>
      <c r="L17" s="156">
        <f t="shared" si="0"/>
        <v>71.953945</v>
      </c>
      <c r="M17" s="156">
        <f t="shared" si="1"/>
        <v>50</v>
      </c>
      <c r="N17" s="156">
        <f t="shared" si="2"/>
        <v>2.9149</v>
      </c>
      <c r="O17" s="156">
        <f t="shared" si="3"/>
        <v>19.039045</v>
      </c>
      <c r="P17" s="156"/>
    </row>
    <row r="18" customHeight="1" spans="1:16">
      <c r="A18" s="149">
        <v>14</v>
      </c>
      <c r="B18" s="150" t="s">
        <v>371</v>
      </c>
      <c r="C18" s="151">
        <v>80</v>
      </c>
      <c r="D18" s="151">
        <v>50</v>
      </c>
      <c r="E18" s="151">
        <v>2.9616</v>
      </c>
      <c r="F18" s="151">
        <v>27.0384</v>
      </c>
      <c r="G18" s="152"/>
      <c r="H18" s="151"/>
      <c r="I18" s="151"/>
      <c r="J18" s="157">
        <v>-7.62200699999999</v>
      </c>
      <c r="K18" s="155"/>
      <c r="L18" s="156">
        <f t="shared" si="0"/>
        <v>72.377993</v>
      </c>
      <c r="M18" s="156">
        <f t="shared" si="1"/>
        <v>50</v>
      </c>
      <c r="N18" s="156">
        <f t="shared" si="2"/>
        <v>2.9616</v>
      </c>
      <c r="O18" s="156">
        <f t="shared" si="3"/>
        <v>19.416393</v>
      </c>
      <c r="P18" s="156"/>
    </row>
    <row r="19" customHeight="1" spans="1:16">
      <c r="A19" s="149">
        <v>15</v>
      </c>
      <c r="B19" s="150" t="s">
        <v>372</v>
      </c>
      <c r="C19" s="151">
        <v>80</v>
      </c>
      <c r="D19" s="151">
        <v>50</v>
      </c>
      <c r="E19" s="151">
        <v>2.9149</v>
      </c>
      <c r="F19" s="151">
        <v>27.0851</v>
      </c>
      <c r="G19" s="152"/>
      <c r="H19" s="151"/>
      <c r="I19" s="151"/>
      <c r="J19" s="157">
        <v>-8.046055</v>
      </c>
      <c r="K19" s="155"/>
      <c r="L19" s="156">
        <f t="shared" si="0"/>
        <v>71.953945</v>
      </c>
      <c r="M19" s="156">
        <f t="shared" si="1"/>
        <v>50</v>
      </c>
      <c r="N19" s="156">
        <f t="shared" si="2"/>
        <v>2.9149</v>
      </c>
      <c r="O19" s="156">
        <f t="shared" si="3"/>
        <v>19.039045</v>
      </c>
      <c r="P19" s="156"/>
    </row>
    <row r="20" customHeight="1" spans="1:16">
      <c r="A20" s="149">
        <v>16</v>
      </c>
      <c r="B20" s="150" t="s">
        <v>373</v>
      </c>
      <c r="C20" s="151">
        <v>80</v>
      </c>
      <c r="D20" s="151">
        <v>50</v>
      </c>
      <c r="E20" s="151">
        <v>2.9149</v>
      </c>
      <c r="F20" s="151">
        <v>27.0851</v>
      </c>
      <c r="G20" s="152"/>
      <c r="H20" s="151"/>
      <c r="I20" s="151"/>
      <c r="J20" s="157">
        <v>-8.046055</v>
      </c>
      <c r="K20" s="155"/>
      <c r="L20" s="156">
        <f t="shared" si="0"/>
        <v>71.953945</v>
      </c>
      <c r="M20" s="156">
        <f t="shared" si="1"/>
        <v>50</v>
      </c>
      <c r="N20" s="156">
        <f t="shared" si="2"/>
        <v>2.9149</v>
      </c>
      <c r="O20" s="156">
        <f t="shared" si="3"/>
        <v>19.039045</v>
      </c>
      <c r="P20" s="156"/>
    </row>
    <row r="21" customHeight="1" spans="1:16">
      <c r="A21" s="149">
        <v>17</v>
      </c>
      <c r="B21" s="150" t="s">
        <v>374</v>
      </c>
      <c r="C21" s="151">
        <v>80</v>
      </c>
      <c r="D21" s="151">
        <v>50</v>
      </c>
      <c r="E21" s="151">
        <v>2.9149</v>
      </c>
      <c r="F21" s="151">
        <v>27.0851</v>
      </c>
      <c r="G21" s="152"/>
      <c r="H21" s="151"/>
      <c r="I21" s="151"/>
      <c r="J21" s="157">
        <v>-8.046055</v>
      </c>
      <c r="K21" s="155"/>
      <c r="L21" s="156">
        <f t="shared" si="0"/>
        <v>71.953945</v>
      </c>
      <c r="M21" s="156">
        <f t="shared" si="1"/>
        <v>50</v>
      </c>
      <c r="N21" s="156">
        <f t="shared" si="2"/>
        <v>2.9149</v>
      </c>
      <c r="O21" s="156">
        <f t="shared" si="3"/>
        <v>19.039045</v>
      </c>
      <c r="P21" s="156"/>
    </row>
    <row r="22" customHeight="1" spans="1:16">
      <c r="A22" s="149">
        <v>18</v>
      </c>
      <c r="B22" s="150" t="s">
        <v>375</v>
      </c>
      <c r="C22" s="151">
        <v>80</v>
      </c>
      <c r="D22" s="151">
        <v>50</v>
      </c>
      <c r="E22" s="151">
        <v>2.9772</v>
      </c>
      <c r="F22" s="151">
        <v>27.0228</v>
      </c>
      <c r="G22" s="152"/>
      <c r="H22" s="151"/>
      <c r="I22" s="151"/>
      <c r="J22" s="157">
        <v>-7.480603</v>
      </c>
      <c r="K22" s="155"/>
      <c r="L22" s="156">
        <f t="shared" si="0"/>
        <v>72.519397</v>
      </c>
      <c r="M22" s="156">
        <f t="shared" si="1"/>
        <v>50</v>
      </c>
      <c r="N22" s="156">
        <f t="shared" si="2"/>
        <v>2.9772</v>
      </c>
      <c r="O22" s="156">
        <f t="shared" si="3"/>
        <v>19.542197</v>
      </c>
      <c r="P22" s="156"/>
    </row>
    <row r="23" customHeight="1" spans="1:16">
      <c r="A23" s="149">
        <v>19</v>
      </c>
      <c r="B23" s="150" t="s">
        <v>376</v>
      </c>
      <c r="C23" s="151">
        <v>80</v>
      </c>
      <c r="D23" s="151">
        <v>50</v>
      </c>
      <c r="E23" s="151">
        <v>2.9149</v>
      </c>
      <c r="F23" s="151">
        <v>27.0851</v>
      </c>
      <c r="G23" s="152"/>
      <c r="H23" s="151"/>
      <c r="I23" s="151"/>
      <c r="J23" s="157">
        <v>-8.046055</v>
      </c>
      <c r="K23" s="155"/>
      <c r="L23" s="156">
        <f t="shared" si="0"/>
        <v>71.953945</v>
      </c>
      <c r="M23" s="156">
        <f t="shared" si="1"/>
        <v>50</v>
      </c>
      <c r="N23" s="156">
        <f t="shared" si="2"/>
        <v>2.9149</v>
      </c>
      <c r="O23" s="156">
        <f t="shared" si="3"/>
        <v>19.039045</v>
      </c>
      <c r="P23" s="156"/>
    </row>
    <row r="24" customHeight="1" spans="1:16">
      <c r="A24" s="149">
        <v>20</v>
      </c>
      <c r="B24" s="150" t="s">
        <v>377</v>
      </c>
      <c r="C24" s="151">
        <v>80</v>
      </c>
      <c r="D24" s="151">
        <v>50</v>
      </c>
      <c r="E24" s="151">
        <v>2.9149</v>
      </c>
      <c r="F24" s="151">
        <v>27.0851</v>
      </c>
      <c r="G24" s="152"/>
      <c r="H24" s="151"/>
      <c r="I24" s="151"/>
      <c r="J24" s="157">
        <v>-8.046055</v>
      </c>
      <c r="K24" s="155"/>
      <c r="L24" s="156">
        <f t="shared" si="0"/>
        <v>71.953945</v>
      </c>
      <c r="M24" s="156">
        <f t="shared" si="1"/>
        <v>50</v>
      </c>
      <c r="N24" s="156">
        <f t="shared" si="2"/>
        <v>2.9149</v>
      </c>
      <c r="O24" s="156">
        <f t="shared" si="3"/>
        <v>19.039045</v>
      </c>
      <c r="P24" s="156"/>
    </row>
    <row r="25" customHeight="1" spans="1:16">
      <c r="A25" s="149">
        <v>21</v>
      </c>
      <c r="B25" s="150" t="s">
        <v>378</v>
      </c>
      <c r="C25" s="151">
        <v>80</v>
      </c>
      <c r="D25" s="151">
        <v>50</v>
      </c>
      <c r="E25" s="151">
        <v>2.9149</v>
      </c>
      <c r="F25" s="151">
        <v>27.0851</v>
      </c>
      <c r="G25" s="152"/>
      <c r="H25" s="151"/>
      <c r="I25" s="151"/>
      <c r="J25" s="157">
        <v>-8.046055</v>
      </c>
      <c r="K25" s="155"/>
      <c r="L25" s="156">
        <f t="shared" si="0"/>
        <v>71.953945</v>
      </c>
      <c r="M25" s="156">
        <f t="shared" si="1"/>
        <v>50</v>
      </c>
      <c r="N25" s="156">
        <f t="shared" si="2"/>
        <v>2.9149</v>
      </c>
      <c r="O25" s="156">
        <f t="shared" si="3"/>
        <v>19.039045</v>
      </c>
      <c r="P25" s="156"/>
    </row>
    <row r="26" customHeight="1" spans="1:16">
      <c r="A26" s="149">
        <v>22</v>
      </c>
      <c r="B26" s="150" t="s">
        <v>379</v>
      </c>
      <c r="C26" s="151">
        <v>80</v>
      </c>
      <c r="D26" s="151">
        <v>50</v>
      </c>
      <c r="E26" s="151">
        <v>2.9772</v>
      </c>
      <c r="F26" s="151">
        <v>27.0228</v>
      </c>
      <c r="G26" s="152"/>
      <c r="H26" s="151"/>
      <c r="I26" s="151"/>
      <c r="J26" s="157">
        <v>-7.480603</v>
      </c>
      <c r="K26" s="155"/>
      <c r="L26" s="156">
        <f t="shared" si="0"/>
        <v>72.519397</v>
      </c>
      <c r="M26" s="156">
        <f t="shared" si="1"/>
        <v>50</v>
      </c>
      <c r="N26" s="156">
        <f t="shared" si="2"/>
        <v>2.9772</v>
      </c>
      <c r="O26" s="156">
        <f t="shared" si="3"/>
        <v>19.542197</v>
      </c>
      <c r="P26" s="156"/>
    </row>
    <row r="27" customHeight="1" spans="1:16">
      <c r="A27" s="149">
        <v>23</v>
      </c>
      <c r="B27" s="150" t="s">
        <v>380</v>
      </c>
      <c r="C27" s="151">
        <v>80</v>
      </c>
      <c r="D27" s="151">
        <v>50</v>
      </c>
      <c r="E27" s="151">
        <v>2.9149</v>
      </c>
      <c r="F27" s="151">
        <v>27.0851</v>
      </c>
      <c r="G27" s="152"/>
      <c r="H27" s="151"/>
      <c r="I27" s="151"/>
      <c r="J27" s="157">
        <v>-8.046055</v>
      </c>
      <c r="K27" s="155"/>
      <c r="L27" s="156">
        <f t="shared" si="0"/>
        <v>71.953945</v>
      </c>
      <c r="M27" s="156">
        <f t="shared" si="1"/>
        <v>50</v>
      </c>
      <c r="N27" s="156">
        <f t="shared" si="2"/>
        <v>2.9149</v>
      </c>
      <c r="O27" s="156">
        <f t="shared" si="3"/>
        <v>19.039045</v>
      </c>
      <c r="P27" s="156"/>
    </row>
    <row r="28" customHeight="1" spans="1:16">
      <c r="A28" s="149">
        <v>24</v>
      </c>
      <c r="B28" s="150" t="s">
        <v>381</v>
      </c>
      <c r="C28" s="151">
        <v>80</v>
      </c>
      <c r="D28" s="151">
        <v>50</v>
      </c>
      <c r="E28" s="151">
        <v>2.9149</v>
      </c>
      <c r="F28" s="151">
        <v>27.0851</v>
      </c>
      <c r="G28" s="152"/>
      <c r="H28" s="151"/>
      <c r="I28" s="151"/>
      <c r="J28" s="157">
        <v>-8.046055</v>
      </c>
      <c r="K28" s="155"/>
      <c r="L28" s="156">
        <f t="shared" si="0"/>
        <v>71.953945</v>
      </c>
      <c r="M28" s="156">
        <f t="shared" si="1"/>
        <v>50</v>
      </c>
      <c r="N28" s="156">
        <f t="shared" si="2"/>
        <v>2.9149</v>
      </c>
      <c r="O28" s="156">
        <f t="shared" si="3"/>
        <v>19.039045</v>
      </c>
      <c r="P28" s="156"/>
    </row>
    <row r="29" customHeight="1" spans="1:16">
      <c r="A29" s="149">
        <v>25</v>
      </c>
      <c r="B29" s="150" t="s">
        <v>382</v>
      </c>
      <c r="C29" s="151">
        <v>80</v>
      </c>
      <c r="D29" s="151">
        <v>50</v>
      </c>
      <c r="E29" s="151">
        <v>2.9149</v>
      </c>
      <c r="F29" s="151">
        <v>27.0851</v>
      </c>
      <c r="G29" s="152"/>
      <c r="H29" s="151"/>
      <c r="I29" s="151"/>
      <c r="J29" s="157">
        <v>-8.046055</v>
      </c>
      <c r="K29" s="155"/>
      <c r="L29" s="156">
        <f t="shared" si="0"/>
        <v>71.953945</v>
      </c>
      <c r="M29" s="156">
        <f t="shared" si="1"/>
        <v>50</v>
      </c>
      <c r="N29" s="156">
        <f t="shared" si="2"/>
        <v>2.9149</v>
      </c>
      <c r="O29" s="156">
        <f t="shared" si="3"/>
        <v>19.039045</v>
      </c>
      <c r="P29" s="156"/>
    </row>
    <row r="30" customHeight="1" spans="1:16">
      <c r="A30" s="149">
        <v>26</v>
      </c>
      <c r="B30" s="150" t="s">
        <v>383</v>
      </c>
      <c r="C30" s="151">
        <v>80</v>
      </c>
      <c r="D30" s="151">
        <v>50</v>
      </c>
      <c r="E30" s="151">
        <v>2.9771</v>
      </c>
      <c r="F30" s="151">
        <v>27.0229</v>
      </c>
      <c r="G30" s="152"/>
      <c r="H30" s="151"/>
      <c r="I30" s="151"/>
      <c r="J30" s="157">
        <v>-7.480575</v>
      </c>
      <c r="K30" s="155"/>
      <c r="L30" s="156">
        <f t="shared" si="0"/>
        <v>72.519425</v>
      </c>
      <c r="M30" s="156">
        <f t="shared" si="1"/>
        <v>50</v>
      </c>
      <c r="N30" s="156">
        <f t="shared" si="2"/>
        <v>2.9771</v>
      </c>
      <c r="O30" s="156">
        <f t="shared" si="3"/>
        <v>19.542325</v>
      </c>
      <c r="P30" s="156"/>
    </row>
    <row r="31" customHeight="1" spans="1:16">
      <c r="A31" s="149">
        <v>27</v>
      </c>
      <c r="B31" s="150" t="s">
        <v>384</v>
      </c>
      <c r="C31" s="151">
        <v>80</v>
      </c>
      <c r="D31" s="151">
        <v>50</v>
      </c>
      <c r="E31" s="151">
        <v>2.9149</v>
      </c>
      <c r="F31" s="151">
        <v>27.0851</v>
      </c>
      <c r="G31" s="152"/>
      <c r="H31" s="151"/>
      <c r="I31" s="151"/>
      <c r="J31" s="157">
        <v>-8.046055</v>
      </c>
      <c r="K31" s="155"/>
      <c r="L31" s="156">
        <f t="shared" si="0"/>
        <v>71.953945</v>
      </c>
      <c r="M31" s="156">
        <f t="shared" si="1"/>
        <v>50</v>
      </c>
      <c r="N31" s="156">
        <f t="shared" si="2"/>
        <v>2.9149</v>
      </c>
      <c r="O31" s="156">
        <f t="shared" si="3"/>
        <v>19.039045</v>
      </c>
      <c r="P31" s="156"/>
    </row>
    <row r="32" customHeight="1" spans="1:16">
      <c r="A32" s="149">
        <v>28</v>
      </c>
      <c r="B32" s="150" t="s">
        <v>385</v>
      </c>
      <c r="C32" s="151">
        <v>80</v>
      </c>
      <c r="D32" s="151">
        <v>50</v>
      </c>
      <c r="E32" s="151">
        <v>2.9149</v>
      </c>
      <c r="F32" s="151">
        <v>27.0851</v>
      </c>
      <c r="G32" s="152"/>
      <c r="H32" s="151"/>
      <c r="I32" s="151"/>
      <c r="J32" s="157">
        <v>-8.046055</v>
      </c>
      <c r="K32" s="155"/>
      <c r="L32" s="156">
        <f t="shared" si="0"/>
        <v>71.953945</v>
      </c>
      <c r="M32" s="156">
        <f t="shared" si="1"/>
        <v>50</v>
      </c>
      <c r="N32" s="156">
        <f t="shared" si="2"/>
        <v>2.9149</v>
      </c>
      <c r="O32" s="156">
        <f t="shared" si="3"/>
        <v>19.039045</v>
      </c>
      <c r="P32" s="156"/>
    </row>
    <row r="33" customHeight="1" spans="1:16">
      <c r="A33" s="149">
        <v>29</v>
      </c>
      <c r="B33" s="158" t="s">
        <v>386</v>
      </c>
      <c r="C33" s="151">
        <v>80</v>
      </c>
      <c r="D33" s="151">
        <v>50</v>
      </c>
      <c r="E33" s="151">
        <v>2.9772</v>
      </c>
      <c r="F33" s="151">
        <v>27.0228</v>
      </c>
      <c r="G33" s="152"/>
      <c r="H33" s="151"/>
      <c r="I33" s="151"/>
      <c r="J33" s="157">
        <v>-7.480603</v>
      </c>
      <c r="K33" s="155"/>
      <c r="L33" s="156">
        <f t="shared" si="0"/>
        <v>72.519397</v>
      </c>
      <c r="M33" s="156">
        <f t="shared" si="1"/>
        <v>50</v>
      </c>
      <c r="N33" s="156">
        <f t="shared" si="2"/>
        <v>2.9772</v>
      </c>
      <c r="O33" s="156">
        <f t="shared" si="3"/>
        <v>19.542197</v>
      </c>
      <c r="P33" s="156"/>
    </row>
    <row r="34" customHeight="1" spans="1:16">
      <c r="A34" s="149">
        <v>30</v>
      </c>
      <c r="B34" s="158" t="s">
        <v>387</v>
      </c>
      <c r="C34" s="151">
        <v>80</v>
      </c>
      <c r="D34" s="151">
        <v>50</v>
      </c>
      <c r="E34" s="151">
        <v>2.9772</v>
      </c>
      <c r="F34" s="151">
        <v>27.0228</v>
      </c>
      <c r="G34" s="152"/>
      <c r="H34" s="151"/>
      <c r="I34" s="151"/>
      <c r="J34" s="157">
        <v>-7.480603</v>
      </c>
      <c r="K34" s="155"/>
      <c r="L34" s="156">
        <f t="shared" si="0"/>
        <v>72.519397</v>
      </c>
      <c r="M34" s="156">
        <f t="shared" si="1"/>
        <v>50</v>
      </c>
      <c r="N34" s="156">
        <f t="shared" si="2"/>
        <v>2.9772</v>
      </c>
      <c r="O34" s="156">
        <f t="shared" si="3"/>
        <v>19.542197</v>
      </c>
      <c r="P34" s="156"/>
    </row>
    <row r="35" customHeight="1" spans="1:16">
      <c r="A35" s="149">
        <v>31</v>
      </c>
      <c r="B35" s="150" t="s">
        <v>388</v>
      </c>
      <c r="C35" s="151">
        <v>80</v>
      </c>
      <c r="D35" s="151">
        <v>52.9772</v>
      </c>
      <c r="E35" s="151"/>
      <c r="F35" s="151"/>
      <c r="G35" s="152">
        <v>27.0228</v>
      </c>
      <c r="H35" s="151"/>
      <c r="I35" s="151"/>
      <c r="J35" s="159"/>
      <c r="K35" s="151">
        <v>-7.480603</v>
      </c>
      <c r="L35" s="156">
        <f t="shared" si="0"/>
        <v>72.519397</v>
      </c>
      <c r="M35" s="156">
        <f t="shared" si="1"/>
        <v>52.9772</v>
      </c>
      <c r="N35" s="156"/>
      <c r="O35" s="156"/>
      <c r="P35" s="156">
        <f>+G35+K35</f>
        <v>19.542197</v>
      </c>
    </row>
    <row r="36" customHeight="1" spans="1:16">
      <c r="A36" s="149">
        <v>32</v>
      </c>
      <c r="B36" s="150" t="s">
        <v>389</v>
      </c>
      <c r="C36" s="151">
        <v>80</v>
      </c>
      <c r="D36" s="151">
        <v>52.9149</v>
      </c>
      <c r="E36" s="151"/>
      <c r="F36" s="151"/>
      <c r="G36" s="152">
        <v>27.0851</v>
      </c>
      <c r="H36" s="151"/>
      <c r="I36" s="151"/>
      <c r="J36" s="159"/>
      <c r="K36" s="151">
        <v>-8.046055</v>
      </c>
      <c r="L36" s="156">
        <f t="shared" ref="L36:L57" si="4">+M36+N36+O36+P36</f>
        <v>71.953945</v>
      </c>
      <c r="M36" s="156">
        <f t="shared" ref="M36:M57" si="5">+D36+H36</f>
        <v>52.9149</v>
      </c>
      <c r="N36" s="156"/>
      <c r="O36" s="156"/>
      <c r="P36" s="156">
        <f t="shared" ref="P36:P57" si="6">+G36+K36</f>
        <v>19.039045</v>
      </c>
    </row>
    <row r="37" customHeight="1" spans="1:16">
      <c r="A37" s="149">
        <v>33</v>
      </c>
      <c r="B37" s="150" t="s">
        <v>390</v>
      </c>
      <c r="C37" s="151">
        <v>80</v>
      </c>
      <c r="D37" s="151">
        <v>52.9149</v>
      </c>
      <c r="E37" s="151"/>
      <c r="F37" s="151"/>
      <c r="G37" s="152">
        <v>27.0851</v>
      </c>
      <c r="H37" s="151"/>
      <c r="I37" s="151"/>
      <c r="J37" s="159"/>
      <c r="K37" s="151">
        <v>-8.046055</v>
      </c>
      <c r="L37" s="156">
        <f t="shared" si="4"/>
        <v>71.953945</v>
      </c>
      <c r="M37" s="156">
        <f t="shared" si="5"/>
        <v>52.9149</v>
      </c>
      <c r="N37" s="156"/>
      <c r="O37" s="156"/>
      <c r="P37" s="156">
        <f t="shared" si="6"/>
        <v>19.039045</v>
      </c>
    </row>
    <row r="38" customHeight="1" spans="1:16">
      <c r="A38" s="149">
        <v>34</v>
      </c>
      <c r="B38" s="150" t="s">
        <v>391</v>
      </c>
      <c r="C38" s="151">
        <v>80</v>
      </c>
      <c r="D38" s="151">
        <v>52.9149</v>
      </c>
      <c r="E38" s="151"/>
      <c r="F38" s="151"/>
      <c r="G38" s="152">
        <v>27.0851</v>
      </c>
      <c r="H38" s="151"/>
      <c r="I38" s="151"/>
      <c r="J38" s="159"/>
      <c r="K38" s="151">
        <v>-8.046055</v>
      </c>
      <c r="L38" s="156">
        <f t="shared" si="4"/>
        <v>71.953945</v>
      </c>
      <c r="M38" s="156">
        <f t="shared" si="5"/>
        <v>52.9149</v>
      </c>
      <c r="N38" s="156"/>
      <c r="O38" s="156"/>
      <c r="P38" s="156">
        <f t="shared" si="6"/>
        <v>19.039045</v>
      </c>
    </row>
    <row r="39" customHeight="1" spans="1:16">
      <c r="A39" s="149">
        <v>35</v>
      </c>
      <c r="B39" s="150" t="s">
        <v>392</v>
      </c>
      <c r="C39" s="151">
        <v>80</v>
      </c>
      <c r="D39" s="151">
        <v>52.9149</v>
      </c>
      <c r="E39" s="151"/>
      <c r="F39" s="151"/>
      <c r="G39" s="152">
        <v>27.0851</v>
      </c>
      <c r="H39" s="151"/>
      <c r="I39" s="151"/>
      <c r="J39" s="159"/>
      <c r="K39" s="151">
        <v>-8.046055</v>
      </c>
      <c r="L39" s="156">
        <f t="shared" si="4"/>
        <v>71.953945</v>
      </c>
      <c r="M39" s="156">
        <f t="shared" si="5"/>
        <v>52.9149</v>
      </c>
      <c r="N39" s="156"/>
      <c r="O39" s="156"/>
      <c r="P39" s="156">
        <f t="shared" si="6"/>
        <v>19.039045</v>
      </c>
    </row>
    <row r="40" customHeight="1" spans="1:16">
      <c r="A40" s="149">
        <v>36</v>
      </c>
      <c r="B40" s="150" t="s">
        <v>393</v>
      </c>
      <c r="C40" s="151">
        <v>80</v>
      </c>
      <c r="D40" s="151">
        <v>52.9772</v>
      </c>
      <c r="E40" s="151"/>
      <c r="F40" s="151"/>
      <c r="G40" s="152">
        <v>27.0228</v>
      </c>
      <c r="H40" s="151"/>
      <c r="I40" s="151"/>
      <c r="J40" s="159"/>
      <c r="K40" s="151">
        <v>-7.480603</v>
      </c>
      <c r="L40" s="156">
        <f t="shared" si="4"/>
        <v>72.519397</v>
      </c>
      <c r="M40" s="156">
        <f t="shared" si="5"/>
        <v>52.9772</v>
      </c>
      <c r="N40" s="156"/>
      <c r="O40" s="156"/>
      <c r="P40" s="156">
        <f t="shared" si="6"/>
        <v>19.542197</v>
      </c>
    </row>
    <row r="41" customHeight="1" spans="1:16">
      <c r="A41" s="149">
        <v>37</v>
      </c>
      <c r="B41" s="150" t="s">
        <v>394</v>
      </c>
      <c r="C41" s="151">
        <v>80</v>
      </c>
      <c r="D41" s="151">
        <v>52.9149</v>
      </c>
      <c r="E41" s="151"/>
      <c r="F41" s="151"/>
      <c r="G41" s="152">
        <v>27.0851</v>
      </c>
      <c r="H41" s="151"/>
      <c r="I41" s="151"/>
      <c r="J41" s="159"/>
      <c r="K41" s="151">
        <v>-8.046055</v>
      </c>
      <c r="L41" s="156">
        <f t="shared" si="4"/>
        <v>71.953945</v>
      </c>
      <c r="M41" s="156">
        <f t="shared" si="5"/>
        <v>52.9149</v>
      </c>
      <c r="N41" s="156"/>
      <c r="O41" s="156"/>
      <c r="P41" s="156">
        <f t="shared" si="6"/>
        <v>19.039045</v>
      </c>
    </row>
    <row r="42" customHeight="1" spans="1:16">
      <c r="A42" s="149">
        <v>38</v>
      </c>
      <c r="B42" s="150" t="s">
        <v>395</v>
      </c>
      <c r="C42" s="151">
        <v>80</v>
      </c>
      <c r="D42" s="151">
        <v>52.9149</v>
      </c>
      <c r="E42" s="151"/>
      <c r="F42" s="151"/>
      <c r="G42" s="152">
        <v>27.0851</v>
      </c>
      <c r="H42" s="151"/>
      <c r="I42" s="151"/>
      <c r="J42" s="159"/>
      <c r="K42" s="151">
        <v>-8.04604300000001</v>
      </c>
      <c r="L42" s="156">
        <f t="shared" si="4"/>
        <v>71.953957</v>
      </c>
      <c r="M42" s="156">
        <f t="shared" si="5"/>
        <v>52.9149</v>
      </c>
      <c r="N42" s="156"/>
      <c r="O42" s="156"/>
      <c r="P42" s="156">
        <f t="shared" si="6"/>
        <v>19.039057</v>
      </c>
    </row>
    <row r="43" customHeight="1" spans="1:16">
      <c r="A43" s="149">
        <v>39</v>
      </c>
      <c r="B43" s="150" t="s">
        <v>396</v>
      </c>
      <c r="C43" s="151">
        <v>240</v>
      </c>
      <c r="D43" s="151">
        <v>158.9314</v>
      </c>
      <c r="E43" s="151"/>
      <c r="F43" s="151"/>
      <c r="G43" s="152">
        <v>81.0686</v>
      </c>
      <c r="H43" s="151"/>
      <c r="I43" s="151"/>
      <c r="J43" s="159"/>
      <c r="K43" s="151">
        <v>-22.441817</v>
      </c>
      <c r="L43" s="156">
        <f t="shared" si="4"/>
        <v>217.558183</v>
      </c>
      <c r="M43" s="156">
        <f t="shared" si="5"/>
        <v>158.9314</v>
      </c>
      <c r="N43" s="156"/>
      <c r="O43" s="156"/>
      <c r="P43" s="156">
        <f t="shared" si="6"/>
        <v>58.626783</v>
      </c>
    </row>
    <row r="44" customHeight="1" spans="1:16">
      <c r="A44" s="149">
        <v>40</v>
      </c>
      <c r="B44" s="150" t="s">
        <v>397</v>
      </c>
      <c r="C44" s="151">
        <v>80</v>
      </c>
      <c r="D44" s="151">
        <v>52.9772</v>
      </c>
      <c r="E44" s="151"/>
      <c r="F44" s="151"/>
      <c r="G44" s="152">
        <v>27.0228</v>
      </c>
      <c r="H44" s="151"/>
      <c r="I44" s="151"/>
      <c r="J44" s="159"/>
      <c r="K44" s="151">
        <v>-7.480603</v>
      </c>
      <c r="L44" s="156">
        <f t="shared" si="4"/>
        <v>72.519397</v>
      </c>
      <c r="M44" s="156">
        <f t="shared" si="5"/>
        <v>52.9772</v>
      </c>
      <c r="N44" s="156"/>
      <c r="O44" s="156"/>
      <c r="P44" s="156">
        <f t="shared" si="6"/>
        <v>19.542197</v>
      </c>
    </row>
    <row r="45" customHeight="1" spans="1:16">
      <c r="A45" s="149">
        <v>41</v>
      </c>
      <c r="B45" s="150" t="s">
        <v>398</v>
      </c>
      <c r="C45" s="151">
        <v>80</v>
      </c>
      <c r="D45" s="151">
        <v>52.9772</v>
      </c>
      <c r="E45" s="151"/>
      <c r="F45" s="151"/>
      <c r="G45" s="152">
        <v>27.0228</v>
      </c>
      <c r="H45" s="151"/>
      <c r="I45" s="151"/>
      <c r="J45" s="159"/>
      <c r="K45" s="151">
        <v>-7.480603</v>
      </c>
      <c r="L45" s="156">
        <f t="shared" si="4"/>
        <v>72.519397</v>
      </c>
      <c r="M45" s="156">
        <f t="shared" si="5"/>
        <v>52.9772</v>
      </c>
      <c r="N45" s="156"/>
      <c r="O45" s="156"/>
      <c r="P45" s="156">
        <f t="shared" si="6"/>
        <v>19.542197</v>
      </c>
    </row>
    <row r="46" customHeight="1" spans="1:16">
      <c r="A46" s="149">
        <v>42</v>
      </c>
      <c r="B46" s="150" t="s">
        <v>399</v>
      </c>
      <c r="C46" s="151">
        <v>80</v>
      </c>
      <c r="D46" s="151">
        <v>52.3925</v>
      </c>
      <c r="E46" s="151"/>
      <c r="F46" s="151"/>
      <c r="G46" s="152">
        <v>27.6075</v>
      </c>
      <c r="H46" s="151"/>
      <c r="I46" s="151"/>
      <c r="J46" s="159"/>
      <c r="K46" s="151">
        <v>-12.795476</v>
      </c>
      <c r="L46" s="156">
        <f t="shared" si="4"/>
        <v>67.204524</v>
      </c>
      <c r="M46" s="156">
        <f t="shared" si="5"/>
        <v>52.3925</v>
      </c>
      <c r="N46" s="156"/>
      <c r="O46" s="156"/>
      <c r="P46" s="156">
        <f t="shared" si="6"/>
        <v>14.812024</v>
      </c>
    </row>
    <row r="47" customHeight="1" spans="1:16">
      <c r="A47" s="149">
        <v>43</v>
      </c>
      <c r="B47" s="150" t="s">
        <v>400</v>
      </c>
      <c r="C47" s="151">
        <v>160</v>
      </c>
      <c r="D47" s="151">
        <v>105.8299</v>
      </c>
      <c r="E47" s="151"/>
      <c r="F47" s="151"/>
      <c r="G47" s="152">
        <v>54.1701</v>
      </c>
      <c r="H47" s="151"/>
      <c r="I47" s="151"/>
      <c r="J47" s="159"/>
      <c r="K47" s="151">
        <v>-16.092033</v>
      </c>
      <c r="L47" s="156">
        <f t="shared" si="4"/>
        <v>143.907967</v>
      </c>
      <c r="M47" s="156">
        <f t="shared" si="5"/>
        <v>105.8299</v>
      </c>
      <c r="N47" s="156"/>
      <c r="O47" s="156"/>
      <c r="P47" s="156">
        <f t="shared" si="6"/>
        <v>38.078067</v>
      </c>
    </row>
    <row r="48" customHeight="1" spans="1:16">
      <c r="A48" s="149">
        <v>44</v>
      </c>
      <c r="B48" s="150" t="s">
        <v>401</v>
      </c>
      <c r="C48" s="151">
        <v>80</v>
      </c>
      <c r="D48" s="151">
        <v>52.9149</v>
      </c>
      <c r="E48" s="151"/>
      <c r="F48" s="151"/>
      <c r="G48" s="152">
        <v>27.0851</v>
      </c>
      <c r="H48" s="151"/>
      <c r="I48" s="151"/>
      <c r="J48" s="159"/>
      <c r="K48" s="151">
        <v>-8.046055</v>
      </c>
      <c r="L48" s="156">
        <f t="shared" si="4"/>
        <v>71.953945</v>
      </c>
      <c r="M48" s="156">
        <f t="shared" si="5"/>
        <v>52.9149</v>
      </c>
      <c r="N48" s="156"/>
      <c r="O48" s="156"/>
      <c r="P48" s="156">
        <f t="shared" si="6"/>
        <v>19.039045</v>
      </c>
    </row>
    <row r="49" customHeight="1" spans="1:16">
      <c r="A49" s="149">
        <v>45</v>
      </c>
      <c r="B49" s="150" t="s">
        <v>402</v>
      </c>
      <c r="C49" s="151">
        <v>240</v>
      </c>
      <c r="D49" s="151">
        <v>118.5402</v>
      </c>
      <c r="E49" s="151">
        <v>30</v>
      </c>
      <c r="F49" s="151">
        <v>8</v>
      </c>
      <c r="G49" s="152">
        <v>83.4598</v>
      </c>
      <c r="H49" s="151"/>
      <c r="I49" s="151"/>
      <c r="J49" s="159"/>
      <c r="K49" s="151">
        <v>-25.998004</v>
      </c>
      <c r="L49" s="156">
        <f t="shared" si="4"/>
        <v>214.001996</v>
      </c>
      <c r="M49" s="156">
        <f t="shared" si="5"/>
        <v>118.5402</v>
      </c>
      <c r="N49" s="156">
        <f t="shared" ref="N49:N57" si="7">+E49</f>
        <v>30</v>
      </c>
      <c r="O49" s="156">
        <f>+F49</f>
        <v>8</v>
      </c>
      <c r="P49" s="156">
        <f t="shared" si="6"/>
        <v>57.461796</v>
      </c>
    </row>
    <row r="50" customHeight="1" spans="1:16">
      <c r="A50" s="149">
        <v>46</v>
      </c>
      <c r="B50" s="150" t="s">
        <v>403</v>
      </c>
      <c r="C50" s="151">
        <v>320</v>
      </c>
      <c r="D50" s="151">
        <v>76.8988</v>
      </c>
      <c r="E50" s="151">
        <v>135</v>
      </c>
      <c r="F50" s="151"/>
      <c r="G50" s="152">
        <v>108.1012</v>
      </c>
      <c r="H50" s="151"/>
      <c r="I50" s="151"/>
      <c r="J50" s="159"/>
      <c r="K50" s="151">
        <v>-30.01039</v>
      </c>
      <c r="L50" s="156">
        <f t="shared" si="4"/>
        <v>289.98961</v>
      </c>
      <c r="M50" s="156">
        <f t="shared" si="5"/>
        <v>76.8988</v>
      </c>
      <c r="N50" s="156">
        <f t="shared" si="7"/>
        <v>135</v>
      </c>
      <c r="O50" s="156"/>
      <c r="P50" s="156">
        <f t="shared" si="6"/>
        <v>78.09081</v>
      </c>
    </row>
    <row r="51" customHeight="1" spans="1:16">
      <c r="A51" s="149">
        <v>47</v>
      </c>
      <c r="B51" s="150" t="s">
        <v>404</v>
      </c>
      <c r="C51" s="151">
        <v>80</v>
      </c>
      <c r="D51" s="151">
        <v>7.9149</v>
      </c>
      <c r="E51" s="151">
        <v>45</v>
      </c>
      <c r="F51" s="151"/>
      <c r="G51" s="152">
        <v>27.0851</v>
      </c>
      <c r="H51" s="151"/>
      <c r="I51" s="151"/>
      <c r="J51" s="159"/>
      <c r="K51" s="151">
        <v>-8.046055</v>
      </c>
      <c r="L51" s="156">
        <f t="shared" si="4"/>
        <v>71.953945</v>
      </c>
      <c r="M51" s="156">
        <f t="shared" si="5"/>
        <v>7.9149</v>
      </c>
      <c r="N51" s="156">
        <f t="shared" si="7"/>
        <v>45</v>
      </c>
      <c r="O51" s="156"/>
      <c r="P51" s="156">
        <f t="shared" si="6"/>
        <v>19.039045</v>
      </c>
    </row>
    <row r="52" customHeight="1" spans="1:16">
      <c r="A52" s="149">
        <v>48</v>
      </c>
      <c r="B52" s="150" t="s">
        <v>405</v>
      </c>
      <c r="C52" s="151">
        <v>160</v>
      </c>
      <c r="D52" s="151">
        <v>15.8299</v>
      </c>
      <c r="E52" s="151">
        <v>90</v>
      </c>
      <c r="F52" s="151"/>
      <c r="G52" s="152">
        <v>54.1701</v>
      </c>
      <c r="H52" s="151"/>
      <c r="I52" s="151"/>
      <c r="J52" s="159"/>
      <c r="K52" s="151">
        <v>-16.092033</v>
      </c>
      <c r="L52" s="156">
        <f t="shared" si="4"/>
        <v>143.907967</v>
      </c>
      <c r="M52" s="156">
        <f t="shared" si="5"/>
        <v>15.8299</v>
      </c>
      <c r="N52" s="156">
        <f t="shared" si="7"/>
        <v>90</v>
      </c>
      <c r="O52" s="156"/>
      <c r="P52" s="156">
        <f t="shared" si="6"/>
        <v>38.078067</v>
      </c>
    </row>
    <row r="53" customHeight="1" spans="1:16">
      <c r="A53" s="149">
        <v>49</v>
      </c>
      <c r="B53" s="150" t="s">
        <v>406</v>
      </c>
      <c r="C53" s="151">
        <v>160</v>
      </c>
      <c r="D53" s="151">
        <v>15.6253</v>
      </c>
      <c r="E53" s="151">
        <v>90</v>
      </c>
      <c r="F53" s="151"/>
      <c r="G53" s="152">
        <v>54.3747</v>
      </c>
      <c r="H53" s="151"/>
      <c r="I53" s="151"/>
      <c r="J53" s="159"/>
      <c r="K53" s="151">
        <v>-17.951983</v>
      </c>
      <c r="L53" s="156">
        <f t="shared" si="4"/>
        <v>142.048017</v>
      </c>
      <c r="M53" s="156">
        <f t="shared" si="5"/>
        <v>15.6253</v>
      </c>
      <c r="N53" s="156">
        <f t="shared" si="7"/>
        <v>90</v>
      </c>
      <c r="O53" s="156"/>
      <c r="P53" s="156">
        <f t="shared" si="6"/>
        <v>36.422717</v>
      </c>
    </row>
    <row r="54" customHeight="1" spans="1:16">
      <c r="A54" s="149">
        <v>50</v>
      </c>
      <c r="B54" s="150" t="s">
        <v>407</v>
      </c>
      <c r="C54" s="151">
        <v>160</v>
      </c>
      <c r="D54" s="151">
        <v>15.6253</v>
      </c>
      <c r="E54" s="151">
        <v>90</v>
      </c>
      <c r="F54" s="151"/>
      <c r="G54" s="152">
        <v>54.3747</v>
      </c>
      <c r="H54" s="151"/>
      <c r="I54" s="151"/>
      <c r="J54" s="159"/>
      <c r="K54" s="151">
        <v>-17.951983</v>
      </c>
      <c r="L54" s="156">
        <f t="shared" si="4"/>
        <v>142.048017</v>
      </c>
      <c r="M54" s="156">
        <f t="shared" si="5"/>
        <v>15.6253</v>
      </c>
      <c r="N54" s="156">
        <f t="shared" si="7"/>
        <v>90</v>
      </c>
      <c r="O54" s="156"/>
      <c r="P54" s="156">
        <f t="shared" si="6"/>
        <v>36.422717</v>
      </c>
    </row>
    <row r="55" customHeight="1" spans="1:16">
      <c r="A55" s="149">
        <v>51</v>
      </c>
      <c r="B55" s="150" t="s">
        <v>408</v>
      </c>
      <c r="C55" s="151">
        <v>80</v>
      </c>
      <c r="D55" s="151">
        <v>7.9772</v>
      </c>
      <c r="E55" s="151">
        <v>45</v>
      </c>
      <c r="F55" s="151"/>
      <c r="G55" s="152">
        <v>27.0228</v>
      </c>
      <c r="H55" s="151"/>
      <c r="I55" s="151"/>
      <c r="J55" s="159"/>
      <c r="K55" s="151">
        <v>-7.480603</v>
      </c>
      <c r="L55" s="156">
        <f t="shared" si="4"/>
        <v>72.519397</v>
      </c>
      <c r="M55" s="156">
        <f t="shared" si="5"/>
        <v>7.9772</v>
      </c>
      <c r="N55" s="156">
        <f t="shared" si="7"/>
        <v>45</v>
      </c>
      <c r="O55" s="156"/>
      <c r="P55" s="156">
        <f t="shared" si="6"/>
        <v>19.542197</v>
      </c>
    </row>
    <row r="56" customHeight="1" spans="1:16">
      <c r="A56" s="149">
        <v>52</v>
      </c>
      <c r="B56" s="150" t="s">
        <v>409</v>
      </c>
      <c r="C56" s="151">
        <v>80</v>
      </c>
      <c r="D56" s="151">
        <v>7.9772</v>
      </c>
      <c r="E56" s="151">
        <v>45</v>
      </c>
      <c r="F56" s="151"/>
      <c r="G56" s="152">
        <v>27.0228</v>
      </c>
      <c r="H56" s="151"/>
      <c r="I56" s="151"/>
      <c r="J56" s="159"/>
      <c r="K56" s="151">
        <v>-7.480603</v>
      </c>
      <c r="L56" s="156">
        <f t="shared" si="4"/>
        <v>72.519397</v>
      </c>
      <c r="M56" s="156">
        <f t="shared" si="5"/>
        <v>7.9772</v>
      </c>
      <c r="N56" s="156">
        <f t="shared" si="7"/>
        <v>45</v>
      </c>
      <c r="O56" s="156"/>
      <c r="P56" s="156">
        <f t="shared" si="6"/>
        <v>19.542197</v>
      </c>
    </row>
    <row r="57" customHeight="1" spans="1:16">
      <c r="A57" s="149">
        <v>53</v>
      </c>
      <c r="B57" s="150" t="s">
        <v>410</v>
      </c>
      <c r="C57" s="151">
        <v>80</v>
      </c>
      <c r="D57" s="151">
        <v>2.1443</v>
      </c>
      <c r="E57" s="151">
        <v>50.7706</v>
      </c>
      <c r="F57" s="151"/>
      <c r="G57" s="152">
        <v>27.0851</v>
      </c>
      <c r="H57" s="151"/>
      <c r="I57" s="151"/>
      <c r="J57" s="159"/>
      <c r="K57" s="151">
        <v>-8.046055</v>
      </c>
      <c r="L57" s="156">
        <f t="shared" si="4"/>
        <v>71.953945</v>
      </c>
      <c r="M57" s="156">
        <f t="shared" si="5"/>
        <v>2.1443</v>
      </c>
      <c r="N57" s="156">
        <f t="shared" si="7"/>
        <v>50.7706</v>
      </c>
      <c r="O57" s="156"/>
      <c r="P57" s="156">
        <f t="shared" si="6"/>
        <v>19.039045</v>
      </c>
    </row>
    <row r="58" customFormat="1" customHeight="1" spans="1:16">
      <c r="A58" s="149">
        <v>54</v>
      </c>
      <c r="B58" s="158" t="s">
        <v>418</v>
      </c>
      <c r="C58" s="151"/>
      <c r="D58" s="151"/>
      <c r="E58" s="151"/>
      <c r="F58" s="151"/>
      <c r="G58" s="152">
        <v>2696</v>
      </c>
      <c r="H58" s="151"/>
      <c r="I58" s="151"/>
      <c r="J58" s="159"/>
      <c r="K58" s="151">
        <v>-149.121772</v>
      </c>
      <c r="L58" s="156"/>
      <c r="M58" s="156"/>
      <c r="N58" s="156">
        <v>414.5179</v>
      </c>
      <c r="O58" s="156"/>
      <c r="P58" s="24">
        <v>2281.4821</v>
      </c>
    </row>
    <row r="59" s="133" customFormat="1" customHeight="1" spans="1:16">
      <c r="A59" s="149"/>
      <c r="B59" s="149" t="s">
        <v>419</v>
      </c>
      <c r="C59" s="149"/>
      <c r="D59" s="149"/>
      <c r="E59" s="149"/>
      <c r="F59" s="149"/>
      <c r="G59" s="149"/>
      <c r="H59" s="149"/>
      <c r="I59" s="149"/>
      <c r="J59" s="149">
        <f>SUM(J5:J57)</f>
        <v>-242.076963</v>
      </c>
      <c r="K59" s="149">
        <f>SUM(K35:K58)</f>
        <v>-425.753592</v>
      </c>
      <c r="L59" s="149"/>
      <c r="M59" s="149"/>
      <c r="N59" s="149"/>
      <c r="O59" s="149"/>
      <c r="P59" s="149"/>
    </row>
  </sheetData>
  <mergeCells count="6">
    <mergeCell ref="A2:P2"/>
    <mergeCell ref="C3:G3"/>
    <mergeCell ref="H3:K3"/>
    <mergeCell ref="L3:P3"/>
    <mergeCell ref="A3:A4"/>
    <mergeCell ref="B3:B4"/>
  </mergeCells>
  <pageMargins left="0.354166666666667" right="0.275" top="0.629861111111111" bottom="0.511805555555556" header="0.5" footer="0.5"/>
  <pageSetup paperSize="9" scale="6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workbookViewId="0">
      <selection activeCell="G13" sqref="G13"/>
    </sheetView>
  </sheetViews>
  <sheetFormatPr defaultColWidth="9" defaultRowHeight="15.75"/>
  <cols>
    <col min="1" max="1" width="3.625" style="2" customWidth="1"/>
    <col min="2" max="2" width="16.625" style="3" customWidth="1"/>
    <col min="3" max="3" width="21.875" style="2" customWidth="1"/>
    <col min="4" max="4" width="29.25" style="2" customWidth="1"/>
    <col min="5" max="5" width="8.625" style="4" customWidth="1"/>
    <col min="6" max="8" width="5.79166666666667" style="5" customWidth="1"/>
    <col min="9" max="9" width="6.875" style="5" customWidth="1"/>
    <col min="10" max="10" width="10.125" style="7" customWidth="1"/>
    <col min="11" max="17" width="9" style="1"/>
    <col min="18" max="18" width="15" style="1" customWidth="1"/>
    <col min="19" max="16376" width="9" style="1"/>
  </cols>
  <sheetData>
    <row r="1" s="1" customFormat="1" spans="1:18 16377:16384">
      <c r="A1" s="10" t="s">
        <v>0</v>
      </c>
      <c r="B1" s="3"/>
      <c r="C1" s="10"/>
      <c r="D1" s="10"/>
      <c r="E1" s="4"/>
      <c r="F1" s="5"/>
      <c r="G1" s="5"/>
      <c r="H1" s="5"/>
      <c r="I1" s="5"/>
      <c r="J1" s="7"/>
      <c r="XEW1"/>
      <c r="XEX1"/>
      <c r="XEY1"/>
      <c r="XEZ1"/>
      <c r="XFA1"/>
      <c r="XFB1"/>
      <c r="XFC1"/>
      <c r="XFD1"/>
    </row>
    <row r="2" s="1" customFormat="1" ht="31.5" spans="1:18 16377:16384">
      <c r="A2" s="120" t="s">
        <v>254</v>
      </c>
      <c r="B2" s="120"/>
      <c r="C2" s="120"/>
      <c r="D2" s="120"/>
      <c r="E2" s="120"/>
      <c r="F2" s="120"/>
      <c r="G2" s="120"/>
      <c r="H2" s="120"/>
      <c r="I2" s="120"/>
      <c r="J2" s="120"/>
      <c r="XEW2"/>
      <c r="XEX2"/>
      <c r="XEY2"/>
      <c r="XEZ2"/>
      <c r="XFA2"/>
      <c r="XFB2"/>
      <c r="XFC2"/>
      <c r="XFD2"/>
    </row>
    <row r="3" s="118" customFormat="1" ht="14.25" spans="1:18 16377:16384">
      <c r="A3" s="121" t="s">
        <v>2</v>
      </c>
      <c r="B3" s="121" t="s">
        <v>3</v>
      </c>
      <c r="C3" s="121" t="s">
        <v>4</v>
      </c>
      <c r="D3" s="121" t="s">
        <v>5</v>
      </c>
      <c r="E3" s="121" t="s">
        <v>7</v>
      </c>
      <c r="F3" s="122" t="s">
        <v>8</v>
      </c>
      <c r="G3" s="122"/>
      <c r="H3" s="122"/>
      <c r="I3" s="122"/>
      <c r="J3" s="123" t="s">
        <v>16</v>
      </c>
      <c r="XEW3"/>
      <c r="XEX3"/>
      <c r="XEY3"/>
      <c r="XEZ3"/>
      <c r="XFA3"/>
      <c r="XFB3"/>
      <c r="XFC3"/>
      <c r="XFD3"/>
    </row>
    <row r="4" s="118" customFormat="1" ht="14.25" spans="1:18 16377:16384">
      <c r="A4" s="124"/>
      <c r="B4" s="124"/>
      <c r="C4" s="124"/>
      <c r="D4" s="124"/>
      <c r="E4" s="124"/>
      <c r="F4" s="93" t="s">
        <v>30</v>
      </c>
      <c r="G4" s="93" t="s">
        <v>31</v>
      </c>
      <c r="H4" s="93" t="s">
        <v>32</v>
      </c>
      <c r="I4" s="125" t="s">
        <v>34</v>
      </c>
      <c r="J4" s="126"/>
      <c r="XEW4"/>
      <c r="XEX4"/>
      <c r="XEY4"/>
      <c r="XEZ4"/>
      <c r="XFA4"/>
      <c r="XFB4"/>
      <c r="XFC4"/>
      <c r="XFD4"/>
    </row>
    <row r="5" s="119" customFormat="1" ht="14.25" spans="1:18 16377:16384">
      <c r="A5" s="16">
        <v>7</v>
      </c>
      <c r="B5" s="127" t="s">
        <v>30</v>
      </c>
      <c r="C5" s="128" t="s">
        <v>30</v>
      </c>
      <c r="D5" s="127"/>
      <c r="E5" s="129"/>
      <c r="F5" s="16">
        <v>2166</v>
      </c>
      <c r="G5" s="16">
        <v>424</v>
      </c>
      <c r="H5" s="16">
        <v>360</v>
      </c>
      <c r="I5" s="16">
        <v>1382</v>
      </c>
      <c r="J5" s="50"/>
      <c r="XEW5"/>
      <c r="XEX5"/>
      <c r="XEY5"/>
      <c r="XEZ5"/>
      <c r="XFA5"/>
      <c r="XFB5"/>
      <c r="XFC5"/>
      <c r="XFD5"/>
    </row>
    <row r="6" s="119" customFormat="1" ht="14.25" spans="1:18 16377:16384">
      <c r="A6" s="130">
        <v>5</v>
      </c>
      <c r="B6" s="127" t="s">
        <v>35</v>
      </c>
      <c r="C6" s="128" t="s">
        <v>36</v>
      </c>
      <c r="D6" s="127"/>
      <c r="E6" s="129"/>
      <c r="F6" s="16">
        <v>160</v>
      </c>
      <c r="G6" s="16">
        <v>110</v>
      </c>
      <c r="H6" s="16">
        <v>50</v>
      </c>
      <c r="I6" s="16">
        <v>0</v>
      </c>
      <c r="J6" s="50"/>
      <c r="XEW6"/>
      <c r="XEX6"/>
      <c r="XEY6"/>
      <c r="XEZ6"/>
      <c r="XFA6"/>
      <c r="XFB6"/>
      <c r="XFC6"/>
      <c r="XFD6"/>
    </row>
    <row r="7" s="1" customFormat="1" ht="40.5" spans="1:18 16377:16384">
      <c r="A7" s="30">
        <v>1</v>
      </c>
      <c r="B7" s="12" t="s">
        <v>42</v>
      </c>
      <c r="C7" s="12" t="s">
        <v>43</v>
      </c>
      <c r="D7" s="12" t="s">
        <v>256</v>
      </c>
      <c r="E7" s="12" t="s">
        <v>67</v>
      </c>
      <c r="F7" s="16">
        <v>50</v>
      </c>
      <c r="G7" s="16"/>
      <c r="H7" s="16">
        <v>50</v>
      </c>
      <c r="I7" s="16"/>
      <c r="J7" s="131" t="s">
        <v>261</v>
      </c>
      <c r="K7" s="88" t="s">
        <v>420</v>
      </c>
      <c r="L7" s="74"/>
      <c r="M7" s="74"/>
      <c r="N7" s="74"/>
      <c r="O7" s="90" t="s">
        <v>421</v>
      </c>
      <c r="P7" s="90"/>
      <c r="Q7" s="90"/>
      <c r="R7" s="90"/>
      <c r="XEW7"/>
      <c r="XEX7"/>
      <c r="XEY7"/>
      <c r="XEZ7"/>
      <c r="XFA7"/>
      <c r="XFB7"/>
      <c r="XFC7"/>
      <c r="XFD7"/>
    </row>
    <row r="8" s="1" customFormat="1" ht="34" customHeight="1" spans="1:18 16377:16384">
      <c r="A8" s="30">
        <v>2</v>
      </c>
      <c r="B8" s="12" t="s">
        <v>42</v>
      </c>
      <c r="C8" s="12" t="s">
        <v>43</v>
      </c>
      <c r="D8" s="12" t="s">
        <v>262</v>
      </c>
      <c r="E8" s="12" t="s">
        <v>264</v>
      </c>
      <c r="F8" s="16">
        <v>50</v>
      </c>
      <c r="G8" s="16">
        <v>50</v>
      </c>
      <c r="H8" s="16"/>
      <c r="I8" s="16"/>
      <c r="J8" s="131"/>
      <c r="K8" s="88" t="s">
        <v>420</v>
      </c>
      <c r="L8" s="74"/>
      <c r="M8" s="74"/>
      <c r="N8" s="74"/>
      <c r="O8" s="75" t="s">
        <v>422</v>
      </c>
      <c r="P8" s="75"/>
      <c r="Q8" s="75"/>
      <c r="R8" s="75"/>
      <c r="XEW8"/>
      <c r="XEX8"/>
      <c r="XEY8"/>
      <c r="XEZ8"/>
      <c r="XFA8"/>
      <c r="XFB8"/>
      <c r="XFC8"/>
      <c r="XFD8"/>
    </row>
    <row r="9" s="1" customFormat="1" ht="27" spans="1:18 16377:16384">
      <c r="A9" s="30">
        <v>3</v>
      </c>
      <c r="B9" s="12" t="s">
        <v>42</v>
      </c>
      <c r="C9" s="12" t="s">
        <v>43</v>
      </c>
      <c r="D9" s="12" t="s">
        <v>266</v>
      </c>
      <c r="E9" s="12" t="s">
        <v>268</v>
      </c>
      <c r="F9" s="16">
        <v>20</v>
      </c>
      <c r="G9" s="16">
        <v>20</v>
      </c>
      <c r="H9" s="16"/>
      <c r="I9" s="16"/>
      <c r="J9" s="131"/>
      <c r="K9" s="88" t="s">
        <v>420</v>
      </c>
      <c r="L9" s="74"/>
      <c r="M9" s="74"/>
      <c r="N9" s="74"/>
      <c r="O9" s="90" t="s">
        <v>421</v>
      </c>
      <c r="P9" s="90"/>
      <c r="Q9" s="90"/>
      <c r="R9" s="90"/>
      <c r="XEW9"/>
      <c r="XEX9"/>
      <c r="XEY9"/>
      <c r="XEZ9"/>
      <c r="XFA9"/>
      <c r="XFB9"/>
      <c r="XFC9"/>
      <c r="XFD9"/>
    </row>
    <row r="10" s="1" customFormat="1" ht="27" spans="1:18 16377:16384">
      <c r="A10" s="30">
        <v>4</v>
      </c>
      <c r="B10" s="12" t="s">
        <v>42</v>
      </c>
      <c r="C10" s="12" t="s">
        <v>43</v>
      </c>
      <c r="D10" s="12" t="s">
        <v>270</v>
      </c>
      <c r="E10" s="48" t="s">
        <v>271</v>
      </c>
      <c r="F10" s="16">
        <v>20</v>
      </c>
      <c r="G10" s="16">
        <v>20</v>
      </c>
      <c r="H10" s="16"/>
      <c r="I10" s="16"/>
      <c r="J10" s="131"/>
      <c r="K10" s="88" t="s">
        <v>420</v>
      </c>
      <c r="L10" s="74"/>
      <c r="M10" s="74"/>
      <c r="N10" s="74"/>
      <c r="O10" s="90" t="s">
        <v>421</v>
      </c>
      <c r="P10" s="90"/>
      <c r="Q10" s="90"/>
      <c r="R10" s="90"/>
      <c r="XEW10"/>
      <c r="XEX10"/>
      <c r="XEY10"/>
      <c r="XEZ10"/>
      <c r="XFA10"/>
      <c r="XFB10"/>
      <c r="XFC10"/>
      <c r="XFD10"/>
    </row>
    <row r="11" s="1" customFormat="1" ht="27" spans="1:18 16377:16384">
      <c r="A11" s="30">
        <v>5</v>
      </c>
      <c r="B11" s="12" t="s">
        <v>42</v>
      </c>
      <c r="C11" s="12" t="s">
        <v>43</v>
      </c>
      <c r="D11" s="12" t="s">
        <v>273</v>
      </c>
      <c r="E11" s="48" t="s">
        <v>274</v>
      </c>
      <c r="F11" s="16">
        <v>20</v>
      </c>
      <c r="G11" s="16">
        <v>20</v>
      </c>
      <c r="H11" s="16"/>
      <c r="I11" s="16"/>
      <c r="J11" s="131"/>
      <c r="K11" s="132" t="s">
        <v>423</v>
      </c>
      <c r="L11" s="90"/>
      <c r="M11" s="90"/>
      <c r="N11" s="90"/>
      <c r="O11" s="90" t="s">
        <v>421</v>
      </c>
      <c r="P11" s="90"/>
      <c r="Q11" s="90"/>
      <c r="R11" s="90"/>
      <c r="XEW11"/>
      <c r="XEX11"/>
      <c r="XEY11"/>
      <c r="XEZ11"/>
      <c r="XFA11"/>
      <c r="XFB11"/>
      <c r="XFC11"/>
      <c r="XFD11"/>
    </row>
    <row r="12" s="1" customFormat="1" ht="14.25" spans="1:18 16377:16384">
      <c r="A12" s="30">
        <v>1</v>
      </c>
      <c r="B12" s="46" t="s">
        <v>187</v>
      </c>
      <c r="C12" s="46" t="s">
        <v>188</v>
      </c>
      <c r="D12" s="46"/>
      <c r="E12" s="48"/>
      <c r="F12" s="16">
        <v>2000</v>
      </c>
      <c r="G12" s="16">
        <v>308</v>
      </c>
      <c r="H12" s="16">
        <v>310</v>
      </c>
      <c r="I12" s="16">
        <v>1382</v>
      </c>
      <c r="J12" s="50"/>
      <c r="XEW12"/>
      <c r="XEX12"/>
      <c r="XEY12"/>
      <c r="XEZ12"/>
      <c r="XFA12"/>
      <c r="XFB12"/>
      <c r="XFC12"/>
      <c r="XFD12"/>
    </row>
    <row r="13" s="1" customFormat="1" ht="37" customHeight="1" spans="1:18 16377:16384">
      <c r="A13" s="30">
        <v>1</v>
      </c>
      <c r="B13" s="12" t="s">
        <v>189</v>
      </c>
      <c r="C13" s="12" t="s">
        <v>43</v>
      </c>
      <c r="D13" s="12" t="s">
        <v>276</v>
      </c>
      <c r="E13" s="12" t="s">
        <v>179</v>
      </c>
      <c r="F13" s="16">
        <v>2000</v>
      </c>
      <c r="G13" s="16">
        <v>308</v>
      </c>
      <c r="H13" s="16">
        <v>310</v>
      </c>
      <c r="I13" s="16">
        <v>1382</v>
      </c>
      <c r="J13" s="21"/>
      <c r="K13" s="74" t="s">
        <v>424</v>
      </c>
      <c r="L13" s="74"/>
      <c r="M13" s="74"/>
      <c r="N13" s="74"/>
      <c r="O13" s="75" t="s">
        <v>422</v>
      </c>
      <c r="P13" s="75"/>
      <c r="Q13" s="75"/>
      <c r="R13" s="75"/>
      <c r="XEW13"/>
      <c r="XEX13"/>
      <c r="XEY13"/>
      <c r="XEZ13"/>
      <c r="XFA13"/>
      <c r="XFB13"/>
      <c r="XFC13"/>
      <c r="XFD13"/>
    </row>
    <row r="14" s="1" customFormat="1" ht="14.25" spans="1:18 16377:16384">
      <c r="A14" s="30">
        <v>1</v>
      </c>
      <c r="B14" s="46" t="s">
        <v>196</v>
      </c>
      <c r="C14" s="46" t="s">
        <v>196</v>
      </c>
      <c r="D14" s="46"/>
      <c r="E14" s="48"/>
      <c r="F14" s="16">
        <v>6</v>
      </c>
      <c r="G14" s="16">
        <v>6</v>
      </c>
      <c r="H14" s="16"/>
      <c r="I14" s="16"/>
      <c r="J14" s="50"/>
      <c r="XEW14"/>
      <c r="XEX14"/>
      <c r="XEY14"/>
      <c r="XEZ14"/>
      <c r="XFA14"/>
      <c r="XFB14"/>
      <c r="XFC14"/>
      <c r="XFD14"/>
    </row>
    <row r="15" s="1" customFormat="1" ht="33" customHeight="1" spans="1:18 16377:16384">
      <c r="A15" s="30">
        <v>1</v>
      </c>
      <c r="B15" s="12" t="s">
        <v>197</v>
      </c>
      <c r="C15" s="12" t="s">
        <v>43</v>
      </c>
      <c r="D15" s="12" t="s">
        <v>280</v>
      </c>
      <c r="E15" s="12" t="s">
        <v>182</v>
      </c>
      <c r="F15" s="16">
        <v>6</v>
      </c>
      <c r="G15" s="16">
        <v>6</v>
      </c>
      <c r="H15" s="16"/>
      <c r="I15" s="16"/>
      <c r="J15" s="41"/>
      <c r="K15" s="96" t="s">
        <v>251</v>
      </c>
      <c r="L15" s="97"/>
      <c r="M15" s="97"/>
      <c r="N15" s="97"/>
      <c r="O15" s="98" t="s">
        <v>252</v>
      </c>
      <c r="P15" s="99"/>
      <c r="Q15" s="99"/>
      <c r="R15" s="99"/>
      <c r="XEW15"/>
      <c r="XEX15"/>
      <c r="XEY15"/>
      <c r="XEZ15"/>
      <c r="XFA15"/>
      <c r="XFB15"/>
      <c r="XFC15"/>
      <c r="XFD15"/>
    </row>
  </sheetData>
  <mergeCells count="22">
    <mergeCell ref="A2:J2"/>
    <mergeCell ref="F3:I3"/>
    <mergeCell ref="K7:N7"/>
    <mergeCell ref="O7:R7"/>
    <mergeCell ref="K8:N8"/>
    <mergeCell ref="O8:R8"/>
    <mergeCell ref="K9:N9"/>
    <mergeCell ref="O9:R9"/>
    <mergeCell ref="K10:N10"/>
    <mergeCell ref="O10:R10"/>
    <mergeCell ref="K11:N11"/>
    <mergeCell ref="O11:R11"/>
    <mergeCell ref="K13:N13"/>
    <mergeCell ref="O13:R13"/>
    <mergeCell ref="K15:N15"/>
    <mergeCell ref="O15:R15"/>
    <mergeCell ref="A3:A4"/>
    <mergeCell ref="B3:B4"/>
    <mergeCell ref="C3:C4"/>
    <mergeCell ref="D3:D4"/>
    <mergeCell ref="E3:E4"/>
    <mergeCell ref="J3:J4"/>
  </mergeCells>
  <pageMargins left="0.75" right="0.75" top="1" bottom="1" header="0.5" footer="0.5"/>
  <pageSetup paperSize="9" scale="6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44"/>
  <sheetViews>
    <sheetView topLeftCell="A197" workbookViewId="0">
      <selection activeCell="AP219" sqref="AP219"/>
    </sheetView>
  </sheetViews>
  <sheetFormatPr defaultColWidth="9" defaultRowHeight="47" customHeight="1"/>
  <cols>
    <col min="1" max="1" width="3.625" style="2" customWidth="1"/>
    <col min="2" max="2" width="13.125" style="3" hidden="1" customWidth="1"/>
    <col min="3" max="3" width="6.01666666666667" style="2" hidden="1" customWidth="1"/>
    <col min="4" max="4" width="29.25" style="2" customWidth="1"/>
    <col min="5" max="5" width="28.25" style="4" hidden="1" customWidth="1"/>
    <col min="6" max="6" width="10.3333333333333" style="4" hidden="1" customWidth="1"/>
    <col min="7" max="10" width="5.79166666666667" style="5" customWidth="1"/>
    <col min="11" max="11" width="6.875" style="5" customWidth="1"/>
    <col min="12" max="12" width="7.04166666666667" style="6" hidden="1" customWidth="1"/>
    <col min="13" max="13" width="8.625" style="6" hidden="1" customWidth="1"/>
    <col min="14" max="14" width="12.125" style="7" hidden="1" customWidth="1"/>
    <col min="15" max="15" width="19.625" style="7" hidden="1" customWidth="1"/>
    <col min="16" max="16" width="33" style="8" hidden="1" customWidth="1"/>
    <col min="17" max="17" width="5.625" style="7" hidden="1" customWidth="1"/>
    <col min="18" max="18" width="24.125" style="8" hidden="1" customWidth="1"/>
    <col min="19" max="19" width="8.06666666666667" style="7" hidden="1" customWidth="1"/>
    <col min="20" max="23" width="11.5" style="1" hidden="1" customWidth="1"/>
    <col min="24" max="24" width="12.5" style="1" hidden="1" customWidth="1"/>
    <col min="25" max="25" width="9" style="1" hidden="1" customWidth="1"/>
    <col min="26" max="26" width="12.625" style="1" customWidth="1"/>
    <col min="27" max="27" width="12.625" style="9" customWidth="1"/>
    <col min="28" max="29" width="9" style="1" customWidth="1"/>
    <col min="30" max="30" width="9.375" style="1"/>
    <col min="31" max="32" width="9" style="1"/>
    <col min="33" max="33" width="11.5" style="1"/>
    <col min="34" max="34" width="9.375" style="1" hidden="1" customWidth="1"/>
    <col min="35" max="35" width="9" style="1" hidden="1" customWidth="1"/>
    <col min="36" max="37" width="9.375" style="1" hidden="1" customWidth="1"/>
    <col min="38" max="38" width="10.375" style="1" hidden="1" customWidth="1"/>
    <col min="39" max="16384" width="9" style="1"/>
  </cols>
  <sheetData>
    <row r="1" s="1" customFormat="1" hidden="1" customHeight="1" spans="1:37">
      <c r="A1" s="10" t="s">
        <v>0</v>
      </c>
      <c r="B1" s="3"/>
      <c r="C1" s="10"/>
      <c r="D1" s="10"/>
      <c r="E1" s="4"/>
      <c r="F1" s="4"/>
      <c r="G1" s="5"/>
      <c r="H1" s="5"/>
      <c r="I1" s="5"/>
      <c r="J1" s="5"/>
      <c r="K1" s="5"/>
      <c r="L1" s="6"/>
      <c r="M1" s="6"/>
      <c r="N1" s="7"/>
      <c r="O1" s="7"/>
      <c r="P1" s="8"/>
      <c r="Q1" s="7"/>
      <c r="R1" s="8"/>
      <c r="S1" s="7"/>
      <c r="AA1" s="9"/>
    </row>
    <row r="2" s="1" customFormat="1" ht="21" customHeight="1" spans="1:37">
      <c r="A2" s="11">
        <v>54</v>
      </c>
      <c r="B2" s="12" t="s">
        <v>42</v>
      </c>
      <c r="C2" s="12" t="s">
        <v>43</v>
      </c>
      <c r="D2" s="13" t="s">
        <v>169</v>
      </c>
      <c r="E2" s="14" t="s">
        <v>170</v>
      </c>
      <c r="F2" s="12" t="s">
        <v>171</v>
      </c>
      <c r="G2" s="15">
        <v>62</v>
      </c>
      <c r="H2" s="15">
        <v>47</v>
      </c>
      <c r="I2" s="15">
        <v>15</v>
      </c>
      <c r="J2" s="15"/>
      <c r="K2" s="15"/>
      <c r="L2" s="12" t="s">
        <v>47</v>
      </c>
      <c r="M2" s="12" t="str">
        <f>F2</f>
        <v>艾庄乡艾庄社区</v>
      </c>
      <c r="N2" s="16" t="s">
        <v>172</v>
      </c>
      <c r="O2" s="17">
        <v>45778</v>
      </c>
      <c r="P2" s="18" t="s">
        <v>173</v>
      </c>
      <c r="Q2" s="19" t="s">
        <v>50</v>
      </c>
      <c r="R2" s="20" t="s">
        <v>174</v>
      </c>
      <c r="S2" s="21" t="s">
        <v>175</v>
      </c>
      <c r="T2" s="22"/>
      <c r="U2" s="23"/>
      <c r="V2" s="23"/>
      <c r="W2" s="23"/>
      <c r="X2" s="23"/>
      <c r="Y2" s="24"/>
      <c r="Z2" s="24"/>
      <c r="AA2" s="25"/>
      <c r="AB2" s="24"/>
      <c r="AC2" s="24"/>
      <c r="AD2" s="24"/>
      <c r="AE2" s="24"/>
      <c r="AF2" s="24"/>
      <c r="AG2" s="24"/>
      <c r="AH2" s="24"/>
      <c r="AI2" s="24"/>
      <c r="AJ2" s="24"/>
      <c r="AK2" s="26"/>
    </row>
    <row r="3" s="1" customFormat="1" ht="21" customHeight="1" spans="1:37">
      <c r="A3" s="27"/>
      <c r="B3" s="12"/>
      <c r="C3" s="12"/>
      <c r="D3" s="28"/>
      <c r="E3" s="14"/>
      <c r="F3" s="12"/>
      <c r="G3" s="29"/>
      <c r="H3" s="29"/>
      <c r="I3" s="29"/>
      <c r="J3" s="29"/>
      <c r="K3" s="29"/>
      <c r="L3" s="12"/>
      <c r="M3" s="12"/>
      <c r="N3" s="30"/>
      <c r="O3" s="17"/>
      <c r="P3" s="31"/>
      <c r="Q3" s="19"/>
      <c r="R3" s="20"/>
      <c r="S3" s="21"/>
      <c r="T3" s="32"/>
      <c r="U3" s="33"/>
      <c r="V3" s="33"/>
      <c r="W3" s="33"/>
      <c r="X3" s="33"/>
      <c r="Y3" s="24"/>
      <c r="Z3" s="24"/>
      <c r="AA3" s="25"/>
      <c r="AB3" s="24"/>
      <c r="AC3" s="24"/>
      <c r="AD3" s="24"/>
      <c r="AE3" s="24"/>
      <c r="AF3" s="24"/>
      <c r="AG3" s="24"/>
      <c r="AH3" s="24"/>
      <c r="AI3" s="24"/>
      <c r="AJ3" s="24"/>
      <c r="AK3" s="26"/>
    </row>
    <row r="4" s="1" customFormat="1" ht="21" customHeight="1" spans="1:37">
      <c r="A4" s="27"/>
      <c r="B4" s="12"/>
      <c r="C4" s="12"/>
      <c r="D4" s="28"/>
      <c r="E4" s="14"/>
      <c r="F4" s="12"/>
      <c r="G4" s="29"/>
      <c r="H4" s="29"/>
      <c r="I4" s="29"/>
      <c r="J4" s="29"/>
      <c r="K4" s="29"/>
      <c r="L4" s="12"/>
      <c r="M4" s="12"/>
      <c r="N4" s="30"/>
      <c r="O4" s="17"/>
      <c r="P4" s="31"/>
      <c r="Q4" s="19"/>
      <c r="R4" s="20"/>
      <c r="S4" s="21"/>
      <c r="T4" s="32"/>
      <c r="U4" s="33"/>
      <c r="V4" s="33"/>
      <c r="W4" s="33"/>
      <c r="X4" s="33"/>
      <c r="Y4" s="24"/>
      <c r="Z4" s="24"/>
      <c r="AA4" s="25"/>
      <c r="AB4" s="24"/>
      <c r="AC4" s="24"/>
      <c r="AD4" s="24"/>
      <c r="AE4" s="24"/>
      <c r="AF4" s="24"/>
      <c r="AG4" s="24"/>
      <c r="AH4" s="24"/>
      <c r="AI4" s="24"/>
      <c r="AJ4" s="24"/>
      <c r="AK4" s="26"/>
    </row>
    <row r="5" s="1" customFormat="1" ht="21" customHeight="1" spans="1:37">
      <c r="A5" s="34"/>
      <c r="B5" s="12"/>
      <c r="C5" s="12"/>
      <c r="D5" s="35"/>
      <c r="E5" s="14"/>
      <c r="F5" s="12"/>
      <c r="G5" s="36"/>
      <c r="H5" s="36"/>
      <c r="I5" s="36"/>
      <c r="J5" s="36"/>
      <c r="K5" s="36"/>
      <c r="L5" s="12"/>
      <c r="M5" s="12"/>
      <c r="N5" s="30"/>
      <c r="O5" s="17"/>
      <c r="P5" s="31"/>
      <c r="Q5" s="19"/>
      <c r="R5" s="20"/>
      <c r="S5" s="21"/>
      <c r="T5" s="37"/>
      <c r="U5" s="38"/>
      <c r="V5" s="38"/>
      <c r="W5" s="38"/>
      <c r="X5" s="38"/>
      <c r="Y5" s="24"/>
      <c r="Z5" s="24"/>
      <c r="AA5" s="25"/>
      <c r="AB5" s="24"/>
      <c r="AC5" s="24"/>
      <c r="AD5" s="24"/>
      <c r="AE5" s="24"/>
      <c r="AF5" s="24"/>
      <c r="AG5" s="24"/>
      <c r="AH5" s="24"/>
      <c r="AI5" s="24"/>
      <c r="AJ5" s="24"/>
      <c r="AK5" s="26"/>
    </row>
    <row r="6" s="1" customFormat="1" ht="21" customHeight="1" spans="1:37">
      <c r="A6" s="11">
        <v>55</v>
      </c>
      <c r="B6" s="12" t="s">
        <v>42</v>
      </c>
      <c r="C6" s="12" t="s">
        <v>43</v>
      </c>
      <c r="D6" s="13" t="s">
        <v>425</v>
      </c>
      <c r="E6" s="14" t="s">
        <v>178</v>
      </c>
      <c r="F6" s="12" t="s">
        <v>179</v>
      </c>
      <c r="G6" s="15">
        <v>29</v>
      </c>
      <c r="H6" s="15"/>
      <c r="I6" s="15">
        <v>29</v>
      </c>
      <c r="J6" s="15"/>
      <c r="K6" s="15"/>
      <c r="L6" s="12"/>
      <c r="M6" s="12"/>
      <c r="N6" s="16"/>
      <c r="O6" s="39">
        <v>45778</v>
      </c>
      <c r="P6" s="18"/>
      <c r="Q6" s="19"/>
      <c r="R6" s="40"/>
      <c r="S6" s="41"/>
      <c r="T6" s="22">
        <v>288000</v>
      </c>
      <c r="U6" s="23"/>
      <c r="V6" s="23"/>
      <c r="W6" s="23"/>
      <c r="X6" s="23"/>
      <c r="Y6" s="24"/>
      <c r="Z6" s="24">
        <v>288000</v>
      </c>
      <c r="AA6" s="25"/>
      <c r="AB6" s="24"/>
      <c r="AC6" s="24"/>
      <c r="AD6" s="24"/>
      <c r="AE6" s="24"/>
      <c r="AF6" s="24"/>
      <c r="AG6" s="24"/>
      <c r="AH6" s="24"/>
      <c r="AI6" s="24"/>
      <c r="AJ6" s="24"/>
      <c r="AK6" s="26"/>
    </row>
    <row r="7" s="1" customFormat="1" ht="21" customHeight="1" spans="1:37">
      <c r="A7" s="27"/>
      <c r="B7" s="12"/>
      <c r="C7" s="12"/>
      <c r="D7" s="28"/>
      <c r="E7" s="14"/>
      <c r="F7" s="12"/>
      <c r="G7" s="29"/>
      <c r="H7" s="29"/>
      <c r="I7" s="29"/>
      <c r="J7" s="29"/>
      <c r="K7" s="29"/>
      <c r="L7" s="12"/>
      <c r="M7" s="12"/>
      <c r="N7" s="30"/>
      <c r="O7" s="17"/>
      <c r="P7" s="31"/>
      <c r="Q7" s="19"/>
      <c r="R7" s="20"/>
      <c r="S7" s="21"/>
      <c r="T7" s="32"/>
      <c r="U7" s="33"/>
      <c r="V7" s="33"/>
      <c r="W7" s="33"/>
      <c r="X7" s="33"/>
      <c r="Y7" s="24"/>
      <c r="Z7" s="24"/>
      <c r="AA7" s="25"/>
      <c r="AB7" s="24"/>
      <c r="AC7" s="24"/>
      <c r="AD7" s="24"/>
      <c r="AE7" s="24"/>
      <c r="AF7" s="24"/>
      <c r="AG7" s="24"/>
      <c r="AH7" s="24"/>
      <c r="AI7" s="24"/>
      <c r="AJ7" s="24"/>
      <c r="AK7" s="26"/>
    </row>
    <row r="8" s="1" customFormat="1" ht="21" customHeight="1" spans="1:37">
      <c r="A8" s="34"/>
      <c r="B8" s="12"/>
      <c r="C8" s="12"/>
      <c r="D8" s="35"/>
      <c r="E8" s="14"/>
      <c r="F8" s="12"/>
      <c r="G8" s="36"/>
      <c r="H8" s="36"/>
      <c r="I8" s="36"/>
      <c r="J8" s="36"/>
      <c r="K8" s="36"/>
      <c r="L8" s="12"/>
      <c r="M8" s="12"/>
      <c r="N8" s="30"/>
      <c r="O8" s="17"/>
      <c r="P8" s="31"/>
      <c r="Q8" s="19"/>
      <c r="R8" s="20"/>
      <c r="S8" s="21"/>
      <c r="T8" s="37"/>
      <c r="U8" s="38"/>
      <c r="V8" s="38"/>
      <c r="W8" s="38"/>
      <c r="X8" s="38"/>
      <c r="Y8" s="24"/>
      <c r="Z8" s="24"/>
      <c r="AA8" s="25"/>
      <c r="AB8" s="24"/>
      <c r="AC8" s="24"/>
      <c r="AD8" s="24"/>
      <c r="AE8" s="24"/>
      <c r="AF8" s="24"/>
      <c r="AG8" s="24"/>
      <c r="AH8" s="24"/>
      <c r="AI8" s="24"/>
      <c r="AJ8" s="24"/>
      <c r="AK8" s="26"/>
    </row>
    <row r="9" s="1" customFormat="1" ht="21" customHeight="1" spans="1:37">
      <c r="A9" s="30">
        <v>56</v>
      </c>
      <c r="B9" s="12" t="s">
        <v>42</v>
      </c>
      <c r="C9" s="12" t="s">
        <v>43</v>
      </c>
      <c r="D9" s="12" t="s">
        <v>180</v>
      </c>
      <c r="E9" s="14" t="s">
        <v>181</v>
      </c>
      <c r="F9" s="12" t="s">
        <v>182</v>
      </c>
      <c r="G9" s="16">
        <v>180</v>
      </c>
      <c r="H9" s="16"/>
      <c r="I9" s="16"/>
      <c r="J9" s="16"/>
      <c r="K9" s="16">
        <v>180</v>
      </c>
      <c r="L9" s="12" t="s">
        <v>47</v>
      </c>
      <c r="M9" s="12" t="s">
        <v>182</v>
      </c>
      <c r="N9" s="16" t="s">
        <v>183</v>
      </c>
      <c r="O9" s="42">
        <v>45962</v>
      </c>
      <c r="P9" s="14" t="s">
        <v>184</v>
      </c>
      <c r="Q9" s="19" t="s">
        <v>50</v>
      </c>
      <c r="R9" s="40" t="s">
        <v>185</v>
      </c>
      <c r="S9" s="41"/>
      <c r="T9" s="43" t="s">
        <v>186</v>
      </c>
      <c r="U9" s="44"/>
      <c r="V9" s="44"/>
      <c r="W9" s="44"/>
      <c r="X9" s="45"/>
      <c r="Y9" s="24"/>
      <c r="Z9" s="24"/>
      <c r="AA9" s="25"/>
      <c r="AB9" s="24"/>
      <c r="AC9" s="24"/>
      <c r="AD9" s="24"/>
      <c r="AE9" s="24"/>
      <c r="AF9" s="24"/>
      <c r="AG9" s="24"/>
      <c r="AH9" s="24"/>
      <c r="AI9" s="24"/>
      <c r="AJ9" s="24"/>
      <c r="AK9" s="26"/>
    </row>
    <row r="10" s="1" customFormat="1" ht="21" customHeight="1" spans="1:37">
      <c r="A10" s="30">
        <v>1</v>
      </c>
      <c r="B10" s="46" t="s">
        <v>187</v>
      </c>
      <c r="C10" s="46" t="s">
        <v>188</v>
      </c>
      <c r="D10" s="46"/>
      <c r="E10" s="47"/>
      <c r="F10" s="48"/>
      <c r="G10" s="16">
        <f>SUM(G11)</f>
        <v>21</v>
      </c>
      <c r="H10" s="16">
        <f>SUM(H11)</f>
        <v>0</v>
      </c>
      <c r="I10" s="16">
        <f>SUM(I11)</f>
        <v>21</v>
      </c>
      <c r="J10" s="16">
        <f>SUM(J11)</f>
        <v>0</v>
      </c>
      <c r="K10" s="16">
        <f>SUM(K11)</f>
        <v>0</v>
      </c>
      <c r="L10" s="49"/>
      <c r="M10" s="46"/>
      <c r="N10" s="46"/>
      <c r="O10" s="46"/>
      <c r="P10" s="46"/>
      <c r="Q10" s="46"/>
      <c r="R10" s="46"/>
      <c r="S10" s="50"/>
      <c r="T10" s="51"/>
      <c r="U10" s="24"/>
      <c r="V10" s="24"/>
      <c r="W10" s="24"/>
      <c r="X10" s="24"/>
      <c r="Y10" s="24"/>
      <c r="Z10" s="24"/>
      <c r="AA10" s="25"/>
      <c r="AB10" s="24"/>
      <c r="AC10" s="24"/>
      <c r="AD10" s="24"/>
      <c r="AE10" s="24"/>
      <c r="AF10" s="24"/>
      <c r="AG10" s="24"/>
      <c r="AH10" s="24"/>
      <c r="AI10" s="24"/>
      <c r="AJ10" s="24"/>
      <c r="AK10" s="26"/>
    </row>
    <row r="11" s="1" customFormat="1" ht="21" customHeight="1" spans="1:37">
      <c r="A11" s="11">
        <v>1</v>
      </c>
      <c r="B11" s="12" t="s">
        <v>189</v>
      </c>
      <c r="C11" s="12" t="s">
        <v>43</v>
      </c>
      <c r="D11" s="13" t="s">
        <v>190</v>
      </c>
      <c r="E11" s="14" t="s">
        <v>191</v>
      </c>
      <c r="F11" s="12" t="s">
        <v>179</v>
      </c>
      <c r="G11" s="15">
        <v>21</v>
      </c>
      <c r="H11" s="15"/>
      <c r="I11" s="15">
        <v>21</v>
      </c>
      <c r="J11" s="15"/>
      <c r="K11" s="15"/>
      <c r="L11" s="12" t="s">
        <v>47</v>
      </c>
      <c r="M11" s="12" t="str">
        <f>F11</f>
        <v>陈曹乡许东村</v>
      </c>
      <c r="N11" s="30" t="s">
        <v>192</v>
      </c>
      <c r="O11" s="17">
        <v>45809</v>
      </c>
      <c r="P11" s="31" t="s">
        <v>193</v>
      </c>
      <c r="Q11" s="19" t="s">
        <v>50</v>
      </c>
      <c r="R11" s="20" t="s">
        <v>194</v>
      </c>
      <c r="S11" s="21" t="s">
        <v>195</v>
      </c>
      <c r="T11" s="22">
        <v>194293.12</v>
      </c>
      <c r="U11" s="23"/>
      <c r="V11" s="23"/>
      <c r="W11" s="23"/>
      <c r="X11" s="23"/>
      <c r="Y11" s="24"/>
      <c r="Z11" s="24">
        <v>194293.12</v>
      </c>
      <c r="AA11" s="25"/>
      <c r="AB11" s="24"/>
      <c r="AC11" s="24"/>
      <c r="AD11" s="24"/>
      <c r="AE11" s="24"/>
      <c r="AF11" s="24"/>
      <c r="AG11" s="24"/>
      <c r="AH11" s="24"/>
      <c r="AI11" s="24"/>
      <c r="AJ11" s="24"/>
      <c r="AK11" s="26"/>
    </row>
    <row r="12" s="1" customFormat="1" ht="21" customHeight="1" spans="1:37">
      <c r="A12" s="27"/>
      <c r="B12" s="12"/>
      <c r="C12" s="12"/>
      <c r="D12" s="28"/>
      <c r="E12" s="14"/>
      <c r="F12" s="12"/>
      <c r="G12" s="29"/>
      <c r="H12" s="29"/>
      <c r="I12" s="29"/>
      <c r="J12" s="29"/>
      <c r="K12" s="29"/>
      <c r="L12" s="12"/>
      <c r="M12" s="12"/>
      <c r="N12" s="30"/>
      <c r="O12" s="17"/>
      <c r="P12" s="31"/>
      <c r="Q12" s="19"/>
      <c r="R12" s="20"/>
      <c r="S12" s="21"/>
      <c r="T12" s="32"/>
      <c r="U12" s="33"/>
      <c r="V12" s="33"/>
      <c r="W12" s="33"/>
      <c r="X12" s="33"/>
      <c r="Y12" s="24"/>
      <c r="Z12" s="24"/>
      <c r="AA12" s="25"/>
      <c r="AB12" s="24"/>
      <c r="AC12" s="24"/>
      <c r="AD12" s="24"/>
      <c r="AE12" s="24"/>
      <c r="AF12" s="24"/>
      <c r="AG12" s="24"/>
      <c r="AH12" s="24"/>
      <c r="AI12" s="24"/>
      <c r="AJ12" s="24"/>
      <c r="AK12" s="26"/>
    </row>
    <row r="13" s="1" customFormat="1" ht="21" customHeight="1" spans="1:37">
      <c r="A13" s="34"/>
      <c r="B13" s="12"/>
      <c r="C13" s="12"/>
      <c r="D13" s="35"/>
      <c r="E13" s="14"/>
      <c r="F13" s="12"/>
      <c r="G13" s="36"/>
      <c r="H13" s="36"/>
      <c r="I13" s="36"/>
      <c r="J13" s="36"/>
      <c r="K13" s="36"/>
      <c r="L13" s="12"/>
      <c r="M13" s="12"/>
      <c r="N13" s="30"/>
      <c r="O13" s="17"/>
      <c r="P13" s="31"/>
      <c r="Q13" s="19"/>
      <c r="R13" s="20"/>
      <c r="S13" s="21"/>
      <c r="T13" s="37"/>
      <c r="U13" s="38"/>
      <c r="V13" s="38"/>
      <c r="W13" s="38"/>
      <c r="X13" s="38"/>
      <c r="Y13" s="24"/>
      <c r="Z13" s="24"/>
      <c r="AA13" s="25"/>
      <c r="AB13" s="24"/>
      <c r="AC13" s="24"/>
      <c r="AD13" s="24"/>
      <c r="AE13" s="24"/>
      <c r="AF13" s="24"/>
      <c r="AG13" s="24"/>
      <c r="AH13" s="24"/>
      <c r="AI13" s="24"/>
      <c r="AJ13" s="24"/>
      <c r="AK13" s="26"/>
    </row>
    <row r="14" s="1" customFormat="1" ht="21" customHeight="1" spans="1:37">
      <c r="A14" s="30">
        <v>4</v>
      </c>
      <c r="B14" s="46" t="s">
        <v>196</v>
      </c>
      <c r="C14" s="46" t="s">
        <v>196</v>
      </c>
      <c r="D14" s="46"/>
      <c r="E14" s="47"/>
      <c r="F14" s="48"/>
      <c r="G14" s="16">
        <f>SUM(G15:G24)</f>
        <v>230</v>
      </c>
      <c r="H14" s="16">
        <f>SUM(H15:H24)</f>
        <v>0</v>
      </c>
      <c r="I14" s="16">
        <f>SUM(I15:I24)</f>
        <v>0</v>
      </c>
      <c r="J14" s="16">
        <f>SUM(J15:J24)</f>
        <v>0</v>
      </c>
      <c r="K14" s="16">
        <f>SUM(K15:K24)</f>
        <v>230</v>
      </c>
      <c r="L14" s="49"/>
      <c r="M14" s="46"/>
      <c r="N14" s="46"/>
      <c r="O14" s="46"/>
      <c r="P14" s="46"/>
      <c r="Q14" s="46"/>
      <c r="R14" s="46"/>
      <c r="S14" s="50"/>
      <c r="T14" s="51"/>
      <c r="U14" s="24"/>
      <c r="V14" s="24"/>
      <c r="W14" s="24"/>
      <c r="X14" s="24"/>
      <c r="Y14" s="24"/>
      <c r="Z14" s="24"/>
      <c r="AA14" s="25"/>
      <c r="AB14" s="24"/>
      <c r="AC14" s="24"/>
      <c r="AD14" s="24"/>
      <c r="AE14" s="24"/>
      <c r="AF14" s="24"/>
      <c r="AG14" s="24"/>
      <c r="AH14" s="24"/>
      <c r="AI14" s="24"/>
      <c r="AJ14" s="24"/>
      <c r="AK14" s="26"/>
    </row>
    <row r="15" s="1" customFormat="1" ht="21" customHeight="1" spans="1:37">
      <c r="A15" s="11">
        <v>1</v>
      </c>
      <c r="B15" s="12" t="s">
        <v>197</v>
      </c>
      <c r="C15" s="12" t="s">
        <v>43</v>
      </c>
      <c r="D15" s="13" t="s">
        <v>198</v>
      </c>
      <c r="E15" s="14" t="s">
        <v>199</v>
      </c>
      <c r="F15" s="12" t="s">
        <v>182</v>
      </c>
      <c r="G15" s="15">
        <v>100</v>
      </c>
      <c r="H15" s="15"/>
      <c r="I15" s="15"/>
      <c r="J15" s="15"/>
      <c r="K15" s="15">
        <v>100</v>
      </c>
      <c r="L15" s="12" t="s">
        <v>47</v>
      </c>
      <c r="M15" s="12" t="s">
        <v>182</v>
      </c>
      <c r="N15" s="16" t="s">
        <v>200</v>
      </c>
      <c r="O15" s="17">
        <v>45962</v>
      </c>
      <c r="P15" s="14" t="s">
        <v>201</v>
      </c>
      <c r="Q15" s="19" t="s">
        <v>50</v>
      </c>
      <c r="R15" s="40" t="s">
        <v>185</v>
      </c>
      <c r="S15" s="41"/>
      <c r="T15" s="52" t="s">
        <v>202</v>
      </c>
      <c r="U15" s="53"/>
      <c r="V15" s="53"/>
      <c r="W15" s="53"/>
      <c r="X15" s="54"/>
      <c r="Y15" s="24"/>
      <c r="Z15" s="24"/>
      <c r="AA15" s="25"/>
      <c r="AB15" s="24"/>
      <c r="AC15" s="24"/>
      <c r="AD15" s="24"/>
      <c r="AE15" s="24"/>
      <c r="AF15" s="24"/>
      <c r="AG15" s="24"/>
      <c r="AH15" s="24"/>
      <c r="AI15" s="24"/>
      <c r="AJ15" s="24"/>
      <c r="AK15" s="26"/>
    </row>
    <row r="16" s="1" customFormat="1" ht="21" customHeight="1" spans="1:37">
      <c r="A16" s="27"/>
      <c r="B16" s="12"/>
      <c r="C16" s="12"/>
      <c r="D16" s="28"/>
      <c r="E16" s="14"/>
      <c r="F16" s="12"/>
      <c r="G16" s="29"/>
      <c r="H16" s="29"/>
      <c r="I16" s="29"/>
      <c r="J16" s="29"/>
      <c r="K16" s="29"/>
      <c r="L16" s="12"/>
      <c r="M16" s="12"/>
      <c r="N16" s="30"/>
      <c r="O16" s="17"/>
      <c r="P16" s="31"/>
      <c r="Q16" s="19"/>
      <c r="R16" s="20"/>
      <c r="S16" s="21"/>
      <c r="T16" s="55"/>
      <c r="U16" s="7"/>
      <c r="V16" s="7"/>
      <c r="W16" s="7"/>
      <c r="X16" s="56"/>
      <c r="Y16" s="24"/>
      <c r="Z16" s="24"/>
      <c r="AA16" s="25"/>
      <c r="AB16" s="24"/>
      <c r="AC16" s="24"/>
      <c r="AD16" s="24"/>
      <c r="AE16" s="24"/>
      <c r="AF16" s="24"/>
      <c r="AG16" s="24"/>
      <c r="AH16" s="24"/>
      <c r="AI16" s="24"/>
      <c r="AJ16" s="24"/>
      <c r="AK16" s="26"/>
    </row>
    <row r="17" s="1" customFormat="1" ht="21" customHeight="1" spans="1:37">
      <c r="A17" s="34"/>
      <c r="B17" s="12"/>
      <c r="C17" s="12"/>
      <c r="D17" s="35"/>
      <c r="E17" s="14"/>
      <c r="F17" s="12"/>
      <c r="G17" s="36"/>
      <c r="H17" s="36"/>
      <c r="I17" s="36"/>
      <c r="J17" s="36"/>
      <c r="K17" s="36"/>
      <c r="L17" s="12"/>
      <c r="M17" s="12"/>
      <c r="N17" s="30"/>
      <c r="O17" s="17"/>
      <c r="P17" s="31"/>
      <c r="Q17" s="19"/>
      <c r="R17" s="20"/>
      <c r="S17" s="21"/>
      <c r="T17" s="57"/>
      <c r="U17" s="58"/>
      <c r="V17" s="58"/>
      <c r="W17" s="58"/>
      <c r="X17" s="59"/>
      <c r="Y17" s="24"/>
      <c r="Z17" s="24"/>
      <c r="AA17" s="25"/>
      <c r="AB17" s="24"/>
      <c r="AC17" s="24"/>
      <c r="AD17" s="24"/>
      <c r="AE17" s="24"/>
      <c r="AF17" s="24"/>
      <c r="AG17" s="24"/>
      <c r="AH17" s="24"/>
      <c r="AI17" s="24"/>
      <c r="AJ17" s="24"/>
      <c r="AK17" s="26"/>
    </row>
    <row r="18" s="1" customFormat="1" ht="21" customHeight="1" spans="1:37">
      <c r="A18" s="11">
        <v>2</v>
      </c>
      <c r="B18" s="12" t="s">
        <v>197</v>
      </c>
      <c r="C18" s="12" t="s">
        <v>43</v>
      </c>
      <c r="D18" s="13" t="s">
        <v>203</v>
      </c>
      <c r="E18" s="14" t="s">
        <v>204</v>
      </c>
      <c r="F18" s="12" t="s">
        <v>182</v>
      </c>
      <c r="G18" s="15">
        <v>10</v>
      </c>
      <c r="H18" s="15"/>
      <c r="I18" s="15"/>
      <c r="J18" s="15"/>
      <c r="K18" s="15">
        <v>10</v>
      </c>
      <c r="L18" s="12" t="s">
        <v>47</v>
      </c>
      <c r="M18" s="12" t="s">
        <v>182</v>
      </c>
      <c r="N18" s="16" t="s">
        <v>200</v>
      </c>
      <c r="O18" s="17">
        <v>45809</v>
      </c>
      <c r="P18" s="14" t="s">
        <v>204</v>
      </c>
      <c r="Q18" s="19" t="s">
        <v>50</v>
      </c>
      <c r="R18" s="40" t="s">
        <v>205</v>
      </c>
      <c r="S18" s="41"/>
      <c r="T18" s="22"/>
      <c r="U18" s="23"/>
      <c r="V18" s="23"/>
      <c r="W18" s="23"/>
      <c r="X18" s="23"/>
      <c r="Y18" s="24"/>
      <c r="Z18" s="24"/>
      <c r="AA18" s="25"/>
      <c r="AB18" s="24"/>
      <c r="AC18" s="24"/>
      <c r="AD18" s="24"/>
      <c r="AE18" s="24"/>
      <c r="AF18" s="24"/>
      <c r="AG18" s="24"/>
      <c r="AH18" s="24"/>
      <c r="AI18" s="24"/>
      <c r="AJ18" s="24"/>
      <c r="AK18" s="26"/>
    </row>
    <row r="19" s="1" customFormat="1" ht="21" customHeight="1" spans="1:37">
      <c r="A19" s="27"/>
      <c r="B19" s="12"/>
      <c r="C19" s="12"/>
      <c r="D19" s="28"/>
      <c r="E19" s="14"/>
      <c r="F19" s="12"/>
      <c r="G19" s="29"/>
      <c r="H19" s="29"/>
      <c r="I19" s="29"/>
      <c r="J19" s="29"/>
      <c r="K19" s="29"/>
      <c r="L19" s="12"/>
      <c r="M19" s="12"/>
      <c r="N19" s="30"/>
      <c r="O19" s="17"/>
      <c r="P19" s="31"/>
      <c r="Q19" s="19"/>
      <c r="R19" s="20"/>
      <c r="S19" s="21"/>
      <c r="T19" s="32"/>
      <c r="U19" s="33"/>
      <c r="V19" s="33"/>
      <c r="W19" s="33"/>
      <c r="X19" s="33"/>
      <c r="Y19" s="24"/>
      <c r="Z19" s="24"/>
      <c r="AA19" s="25"/>
      <c r="AB19" s="24"/>
      <c r="AC19" s="24"/>
      <c r="AD19" s="24"/>
      <c r="AE19" s="24"/>
      <c r="AF19" s="24"/>
      <c r="AG19" s="24"/>
      <c r="AH19" s="24"/>
      <c r="AI19" s="24"/>
      <c r="AJ19" s="24"/>
      <c r="AK19" s="26"/>
    </row>
    <row r="20" s="1" customFormat="1" ht="21" customHeight="1" spans="1:37">
      <c r="A20" s="34"/>
      <c r="B20" s="12"/>
      <c r="C20" s="12"/>
      <c r="D20" s="35"/>
      <c r="E20" s="14"/>
      <c r="F20" s="12"/>
      <c r="G20" s="36"/>
      <c r="H20" s="36"/>
      <c r="I20" s="36"/>
      <c r="J20" s="36"/>
      <c r="K20" s="36"/>
      <c r="L20" s="12"/>
      <c r="M20" s="12"/>
      <c r="N20" s="30"/>
      <c r="O20" s="17"/>
      <c r="P20" s="31"/>
      <c r="Q20" s="19"/>
      <c r="R20" s="20"/>
      <c r="S20" s="21"/>
      <c r="T20" s="37"/>
      <c r="U20" s="38"/>
      <c r="V20" s="38"/>
      <c r="W20" s="38"/>
      <c r="X20" s="38"/>
      <c r="Y20" s="24"/>
      <c r="Z20" s="24"/>
      <c r="AA20" s="25"/>
      <c r="AB20" s="24"/>
      <c r="AC20" s="24"/>
      <c r="AD20" s="24"/>
      <c r="AE20" s="24"/>
      <c r="AF20" s="24"/>
      <c r="AG20" s="24"/>
      <c r="AH20" s="24"/>
      <c r="AI20" s="24"/>
      <c r="AJ20" s="24"/>
      <c r="AK20" s="26"/>
    </row>
    <row r="21" s="1" customFormat="1" ht="21" customHeight="1" spans="1:37">
      <c r="A21" s="11">
        <v>3</v>
      </c>
      <c r="B21" s="12" t="s">
        <v>197</v>
      </c>
      <c r="C21" s="12" t="s">
        <v>43</v>
      </c>
      <c r="D21" s="13" t="s">
        <v>206</v>
      </c>
      <c r="E21" s="14" t="s">
        <v>207</v>
      </c>
      <c r="F21" s="12" t="s">
        <v>182</v>
      </c>
      <c r="G21" s="15">
        <v>60</v>
      </c>
      <c r="H21" s="15"/>
      <c r="I21" s="15"/>
      <c r="J21" s="15"/>
      <c r="K21" s="15">
        <v>60</v>
      </c>
      <c r="L21" s="12" t="s">
        <v>47</v>
      </c>
      <c r="M21" s="12" t="s">
        <v>182</v>
      </c>
      <c r="N21" s="12" t="s">
        <v>208</v>
      </c>
      <c r="O21" s="17">
        <v>45717</v>
      </c>
      <c r="P21" s="14" t="s">
        <v>209</v>
      </c>
      <c r="Q21" s="19" t="s">
        <v>50</v>
      </c>
      <c r="R21" s="40" t="s">
        <v>210</v>
      </c>
      <c r="S21" s="41"/>
      <c r="T21" s="22"/>
      <c r="U21" s="23"/>
      <c r="V21" s="23"/>
      <c r="W21" s="23"/>
      <c r="X21" s="23"/>
      <c r="Y21" s="24"/>
      <c r="Z21" s="24"/>
      <c r="AA21" s="25"/>
      <c r="AB21" s="24"/>
      <c r="AC21" s="24"/>
      <c r="AD21" s="24"/>
      <c r="AE21" s="24"/>
      <c r="AF21" s="24"/>
      <c r="AG21" s="24"/>
      <c r="AH21" s="24"/>
      <c r="AI21" s="24"/>
      <c r="AJ21" s="24"/>
      <c r="AK21" s="26"/>
    </row>
    <row r="22" s="1" customFormat="1" ht="21" customHeight="1" spans="1:37">
      <c r="A22" s="27"/>
      <c r="B22" s="12"/>
      <c r="C22" s="12"/>
      <c r="D22" s="28"/>
      <c r="E22" s="14"/>
      <c r="F22" s="12"/>
      <c r="G22" s="29"/>
      <c r="H22" s="29"/>
      <c r="I22" s="29"/>
      <c r="J22" s="29"/>
      <c r="K22" s="29"/>
      <c r="L22" s="12"/>
      <c r="M22" s="12"/>
      <c r="N22" s="30"/>
      <c r="O22" s="17"/>
      <c r="P22" s="31"/>
      <c r="Q22" s="19"/>
      <c r="R22" s="20"/>
      <c r="S22" s="21"/>
      <c r="T22" s="32"/>
      <c r="U22" s="33"/>
      <c r="V22" s="33"/>
      <c r="W22" s="33"/>
      <c r="X22" s="33"/>
      <c r="Y22" s="24"/>
      <c r="Z22" s="24"/>
      <c r="AA22" s="25"/>
      <c r="AB22" s="24"/>
      <c r="AC22" s="24"/>
      <c r="AD22" s="24"/>
      <c r="AE22" s="24"/>
      <c r="AF22" s="24"/>
      <c r="AG22" s="24"/>
      <c r="AH22" s="24"/>
      <c r="AI22" s="24"/>
      <c r="AJ22" s="24"/>
      <c r="AK22" s="26"/>
    </row>
    <row r="23" s="1" customFormat="1" ht="21" customHeight="1" spans="1:37">
      <c r="A23" s="34"/>
      <c r="B23" s="12"/>
      <c r="C23" s="12"/>
      <c r="D23" s="35"/>
      <c r="E23" s="14"/>
      <c r="F23" s="12"/>
      <c r="G23" s="36"/>
      <c r="H23" s="36"/>
      <c r="I23" s="36"/>
      <c r="J23" s="36"/>
      <c r="K23" s="36"/>
      <c r="L23" s="12"/>
      <c r="M23" s="12"/>
      <c r="N23" s="30"/>
      <c r="O23" s="17"/>
      <c r="P23" s="31"/>
      <c r="Q23" s="19"/>
      <c r="R23" s="20"/>
      <c r="S23" s="21"/>
      <c r="T23" s="37"/>
      <c r="U23" s="38"/>
      <c r="V23" s="38"/>
      <c r="W23" s="38"/>
      <c r="X23" s="38"/>
      <c r="Y23" s="24"/>
      <c r="Z23" s="24"/>
      <c r="AA23" s="25"/>
      <c r="AB23" s="24"/>
      <c r="AC23" s="24"/>
      <c r="AD23" s="24"/>
      <c r="AE23" s="24"/>
      <c r="AF23" s="24"/>
      <c r="AG23" s="24"/>
      <c r="AH23" s="24"/>
      <c r="AI23" s="24"/>
      <c r="AJ23" s="24"/>
      <c r="AK23" s="26"/>
    </row>
    <row r="24" s="1" customFormat="1" ht="21" customHeight="1" spans="1:37">
      <c r="A24" s="11">
        <v>4</v>
      </c>
      <c r="B24" s="12" t="s">
        <v>197</v>
      </c>
      <c r="C24" s="60" t="s">
        <v>43</v>
      </c>
      <c r="D24" s="13" t="s">
        <v>211</v>
      </c>
      <c r="E24" s="61" t="s">
        <v>207</v>
      </c>
      <c r="F24" s="60" t="s">
        <v>182</v>
      </c>
      <c r="G24" s="15">
        <v>60</v>
      </c>
      <c r="H24" s="15"/>
      <c r="I24" s="15"/>
      <c r="J24" s="15"/>
      <c r="K24" s="15">
        <v>60</v>
      </c>
      <c r="L24" s="12" t="s">
        <v>47</v>
      </c>
      <c r="M24" s="12" t="s">
        <v>182</v>
      </c>
      <c r="N24" s="60" t="s">
        <v>208</v>
      </c>
      <c r="O24" s="17">
        <v>45870</v>
      </c>
      <c r="P24" s="61" t="s">
        <v>209</v>
      </c>
      <c r="Q24" s="19" t="s">
        <v>50</v>
      </c>
      <c r="R24" s="62" t="s">
        <v>210</v>
      </c>
      <c r="S24" s="41"/>
      <c r="T24" s="22"/>
      <c r="U24" s="23"/>
      <c r="V24" s="23"/>
      <c r="W24" s="23"/>
      <c r="X24" s="23"/>
      <c r="Y24" s="24"/>
      <c r="Z24" s="24"/>
      <c r="AA24" s="25"/>
      <c r="AB24" s="24"/>
      <c r="AC24" s="24"/>
      <c r="AD24" s="24"/>
      <c r="AE24" s="24"/>
      <c r="AF24" s="24"/>
      <c r="AG24" s="24"/>
      <c r="AH24" s="24"/>
      <c r="AI24" s="24"/>
      <c r="AJ24" s="24"/>
      <c r="AK24" s="26"/>
    </row>
    <row r="25" s="1" customFormat="1" ht="21" customHeight="1" spans="1:37">
      <c r="A25" s="27"/>
      <c r="B25" s="12"/>
      <c r="C25" s="12"/>
      <c r="D25" s="28"/>
      <c r="E25" s="14"/>
      <c r="F25" s="12"/>
      <c r="G25" s="29"/>
      <c r="H25" s="29"/>
      <c r="I25" s="29"/>
      <c r="J25" s="29"/>
      <c r="K25" s="29"/>
      <c r="L25" s="12"/>
      <c r="M25" s="12"/>
      <c r="N25" s="30"/>
      <c r="O25" s="17"/>
      <c r="P25" s="31"/>
      <c r="Q25" s="19"/>
      <c r="R25" s="20"/>
      <c r="S25" s="21"/>
      <c r="T25" s="32"/>
      <c r="U25" s="33"/>
      <c r="V25" s="33"/>
      <c r="W25" s="33"/>
      <c r="X25" s="33"/>
      <c r="Y25" s="24"/>
      <c r="Z25" s="24"/>
      <c r="AA25" s="25"/>
      <c r="AB25" s="24"/>
      <c r="AC25" s="24"/>
      <c r="AD25" s="24"/>
      <c r="AE25" s="24"/>
      <c r="AF25" s="24"/>
      <c r="AG25" s="24"/>
      <c r="AH25" s="24"/>
      <c r="AI25" s="24"/>
      <c r="AJ25" s="24"/>
      <c r="AK25" s="26"/>
    </row>
    <row r="26" s="1" customFormat="1" ht="21" customHeight="1" spans="1:37">
      <c r="A26" s="34"/>
      <c r="B26" s="12"/>
      <c r="C26" s="12"/>
      <c r="D26" s="35"/>
      <c r="E26" s="14"/>
      <c r="F26" s="12"/>
      <c r="G26" s="36"/>
      <c r="H26" s="36"/>
      <c r="I26" s="36"/>
      <c r="J26" s="36"/>
      <c r="K26" s="36"/>
      <c r="L26" s="12"/>
      <c r="M26" s="12"/>
      <c r="N26" s="30"/>
      <c r="O26" s="17"/>
      <c r="P26" s="31"/>
      <c r="Q26" s="19"/>
      <c r="R26" s="20"/>
      <c r="S26" s="21"/>
      <c r="T26" s="37"/>
      <c r="U26" s="38"/>
      <c r="V26" s="38"/>
      <c r="W26" s="38"/>
      <c r="X26" s="38"/>
      <c r="Y26" s="24"/>
      <c r="Z26" s="24"/>
      <c r="AA26" s="25"/>
      <c r="AB26" s="24"/>
      <c r="AC26" s="24"/>
      <c r="AD26" s="24"/>
      <c r="AE26" s="24"/>
      <c r="AF26" s="24"/>
      <c r="AG26" s="24"/>
      <c r="AH26" s="24"/>
      <c r="AI26" s="24"/>
      <c r="AJ26" s="24"/>
      <c r="AK26" s="26"/>
    </row>
    <row r="27" s="1" customFormat="1" ht="21" customHeight="1" spans="1:37">
      <c r="A27" s="30">
        <v>3</v>
      </c>
      <c r="B27" s="46" t="s">
        <v>212</v>
      </c>
      <c r="C27" s="46"/>
      <c r="D27" s="46"/>
      <c r="E27" s="47"/>
      <c r="F27" s="48"/>
      <c r="G27" s="16">
        <f>SUM(G28:G30)</f>
        <v>130</v>
      </c>
      <c r="H27" s="16">
        <f>SUM(H28:H30)</f>
        <v>20</v>
      </c>
      <c r="I27" s="16">
        <f>SUM(I28:I30)</f>
        <v>6</v>
      </c>
      <c r="J27" s="16">
        <f>SUM(J28:J30)</f>
        <v>49</v>
      </c>
      <c r="K27" s="16">
        <f>SUM(K28:K30)</f>
        <v>55</v>
      </c>
      <c r="L27" s="49"/>
      <c r="M27" s="46"/>
      <c r="N27" s="46"/>
      <c r="O27" s="46"/>
      <c r="P27" s="46"/>
      <c r="Q27" s="46"/>
      <c r="R27" s="46"/>
      <c r="S27" s="50"/>
      <c r="T27" s="51"/>
      <c r="U27" s="24"/>
      <c r="V27" s="24"/>
      <c r="W27" s="24"/>
      <c r="X27" s="24"/>
      <c r="Y27" s="24"/>
      <c r="Z27" s="24"/>
      <c r="AA27" s="25"/>
      <c r="AB27" s="24"/>
      <c r="AC27" s="24"/>
      <c r="AD27" s="24"/>
      <c r="AE27" s="24"/>
      <c r="AF27" s="24"/>
      <c r="AG27" s="24"/>
      <c r="AH27" s="24"/>
      <c r="AI27" s="24"/>
      <c r="AJ27" s="24"/>
      <c r="AK27" s="26"/>
    </row>
    <row r="28" s="1" customFormat="1" ht="21" customHeight="1" spans="1:37">
      <c r="A28" s="30">
        <v>1</v>
      </c>
      <c r="B28" s="12" t="s">
        <v>213</v>
      </c>
      <c r="C28" s="12" t="s">
        <v>43</v>
      </c>
      <c r="D28" s="12" t="s">
        <v>214</v>
      </c>
      <c r="E28" s="14" t="s">
        <v>215</v>
      </c>
      <c r="F28" s="12" t="s">
        <v>216</v>
      </c>
      <c r="G28" s="16">
        <v>40</v>
      </c>
      <c r="H28" s="16"/>
      <c r="I28" s="16"/>
      <c r="J28" s="16">
        <v>40</v>
      </c>
      <c r="K28" s="16"/>
      <c r="L28" s="12" t="s">
        <v>47</v>
      </c>
      <c r="M28" s="12" t="s">
        <v>216</v>
      </c>
      <c r="N28" s="12" t="s">
        <v>208</v>
      </c>
      <c r="O28" s="17">
        <v>45809</v>
      </c>
      <c r="P28" s="14" t="s">
        <v>217</v>
      </c>
      <c r="Q28" s="19" t="s">
        <v>50</v>
      </c>
      <c r="R28" s="40" t="s">
        <v>218</v>
      </c>
      <c r="S28" s="63"/>
      <c r="T28" s="51"/>
      <c r="U28" s="24"/>
      <c r="V28" s="24"/>
      <c r="W28" s="24"/>
      <c r="X28" s="24"/>
      <c r="Y28" s="24"/>
      <c r="Z28" s="24"/>
      <c r="AA28" s="25"/>
      <c r="AB28" s="24"/>
      <c r="AC28" s="24"/>
      <c r="AD28" s="24"/>
      <c r="AE28" s="24"/>
      <c r="AF28" s="24"/>
      <c r="AG28" s="24"/>
      <c r="AH28" s="24"/>
      <c r="AI28" s="24"/>
      <c r="AJ28" s="24"/>
      <c r="AK28" s="26"/>
    </row>
    <row r="29" s="1" customFormat="1" ht="21" customHeight="1" spans="1:37">
      <c r="A29" s="30">
        <v>2</v>
      </c>
      <c r="B29" s="12" t="s">
        <v>213</v>
      </c>
      <c r="C29" s="12" t="s">
        <v>43</v>
      </c>
      <c r="D29" s="12" t="s">
        <v>219</v>
      </c>
      <c r="E29" s="14" t="s">
        <v>220</v>
      </c>
      <c r="F29" s="12" t="s">
        <v>221</v>
      </c>
      <c r="G29" s="16">
        <v>30</v>
      </c>
      <c r="H29" s="16"/>
      <c r="I29" s="16"/>
      <c r="J29" s="16"/>
      <c r="K29" s="16">
        <v>30</v>
      </c>
      <c r="L29" s="12" t="s">
        <v>47</v>
      </c>
      <c r="M29" s="12" t="s">
        <v>221</v>
      </c>
      <c r="N29" s="12" t="s">
        <v>208</v>
      </c>
      <c r="O29" s="17">
        <v>45809</v>
      </c>
      <c r="P29" s="14" t="s">
        <v>222</v>
      </c>
      <c r="Q29" s="19" t="s">
        <v>50</v>
      </c>
      <c r="R29" s="40" t="s">
        <v>218</v>
      </c>
      <c r="S29" s="63"/>
      <c r="T29" s="51"/>
      <c r="U29" s="24"/>
      <c r="V29" s="24"/>
      <c r="W29" s="24"/>
      <c r="X29" s="24"/>
      <c r="Y29" s="24"/>
      <c r="Z29" s="24"/>
      <c r="AA29" s="25"/>
      <c r="AB29" s="24"/>
      <c r="AC29" s="24"/>
      <c r="AD29" s="24"/>
      <c r="AE29" s="24"/>
      <c r="AF29" s="24"/>
      <c r="AG29" s="24"/>
      <c r="AH29" s="24"/>
      <c r="AI29" s="24"/>
      <c r="AJ29" s="24"/>
      <c r="AK29" s="26"/>
    </row>
    <row r="30" s="1" customFormat="1" ht="21" customHeight="1" spans="1:37">
      <c r="A30" s="11">
        <v>3</v>
      </c>
      <c r="B30" s="12" t="s">
        <v>213</v>
      </c>
      <c r="C30" s="12" t="s">
        <v>43</v>
      </c>
      <c r="D30" s="64" t="s">
        <v>223</v>
      </c>
      <c r="E30" s="14" t="s">
        <v>224</v>
      </c>
      <c r="F30" s="60" t="s">
        <v>182</v>
      </c>
      <c r="G30" s="15">
        <v>60</v>
      </c>
      <c r="H30" s="15">
        <v>20</v>
      </c>
      <c r="I30" s="15">
        <v>6</v>
      </c>
      <c r="J30" s="15">
        <v>9</v>
      </c>
      <c r="K30" s="15">
        <v>25</v>
      </c>
      <c r="L30" s="12" t="s">
        <v>47</v>
      </c>
      <c r="M30" s="12"/>
      <c r="N30" s="12" t="s">
        <v>208</v>
      </c>
      <c r="O30" s="17">
        <v>45809</v>
      </c>
      <c r="P30" s="31"/>
      <c r="Q30" s="19" t="s">
        <v>50</v>
      </c>
      <c r="R30" s="65"/>
      <c r="S30" s="66"/>
      <c r="T30" s="67"/>
      <c r="U30" s="68"/>
      <c r="V30" s="68"/>
      <c r="W30" s="68"/>
      <c r="X30" s="68"/>
      <c r="Y30" s="68"/>
      <c r="Z30" s="68"/>
      <c r="AA30" s="69"/>
      <c r="AB30" s="68"/>
      <c r="AC30" s="68"/>
      <c r="AD30" s="68"/>
      <c r="AE30" s="68"/>
      <c r="AF30" s="68"/>
      <c r="AG30" s="68"/>
      <c r="AH30" s="68"/>
      <c r="AI30" s="68"/>
      <c r="AJ30" s="68"/>
      <c r="AK30" s="70"/>
    </row>
    <row r="31" s="1" customFormat="1" ht="21" customHeight="1" spans="1:37">
      <c r="A31" s="27"/>
      <c r="B31" s="12"/>
      <c r="C31" s="12"/>
      <c r="D31" s="64" t="s">
        <v>225</v>
      </c>
      <c r="E31" s="14"/>
      <c r="F31" s="12"/>
      <c r="G31" s="29"/>
      <c r="H31" s="29"/>
      <c r="I31" s="29"/>
      <c r="J31" s="29"/>
      <c r="K31" s="29"/>
      <c r="L31" s="12"/>
      <c r="M31" s="12"/>
      <c r="N31" s="30"/>
      <c r="O31" s="17"/>
      <c r="P31" s="31"/>
      <c r="Q31" s="19"/>
      <c r="R31" s="20"/>
      <c r="S31" s="21"/>
      <c r="T31" s="51">
        <v>230000</v>
      </c>
      <c r="U31" s="24"/>
      <c r="V31" s="24"/>
      <c r="W31" s="24"/>
      <c r="X31" s="24"/>
      <c r="Y31" s="24"/>
      <c r="Z31" s="24">
        <v>230000</v>
      </c>
      <c r="AA31" s="25"/>
      <c r="AB31" s="24"/>
      <c r="AC31" s="24"/>
      <c r="AD31" s="24"/>
      <c r="AE31" s="24"/>
      <c r="AF31" s="24"/>
      <c r="AG31" s="24"/>
      <c r="AH31" s="24"/>
      <c r="AI31" s="24"/>
      <c r="AJ31" s="24"/>
      <c r="AK31" s="26"/>
    </row>
    <row r="32" s="1" customFormat="1" ht="21" customHeight="1" spans="1:37">
      <c r="A32" s="34"/>
      <c r="B32" s="12"/>
      <c r="C32" s="12"/>
      <c r="D32" s="71"/>
      <c r="E32" s="14"/>
      <c r="F32" s="12"/>
      <c r="G32" s="36"/>
      <c r="H32" s="36"/>
      <c r="I32" s="36"/>
      <c r="J32" s="36"/>
      <c r="K32" s="36"/>
      <c r="L32" s="12"/>
      <c r="M32" s="12"/>
      <c r="N32" s="30"/>
      <c r="O32" s="17"/>
      <c r="P32" s="31"/>
      <c r="Q32" s="19"/>
      <c r="R32" s="20"/>
      <c r="S32" s="21"/>
      <c r="T32" s="51"/>
      <c r="U32" s="24"/>
      <c r="V32" s="24"/>
      <c r="W32" s="24"/>
      <c r="X32" s="24"/>
      <c r="Y32" s="24"/>
      <c r="Z32" s="24"/>
      <c r="AA32" s="25"/>
      <c r="AB32" s="24"/>
      <c r="AC32" s="24"/>
      <c r="AD32" s="24"/>
      <c r="AE32" s="24"/>
      <c r="AF32" s="24"/>
      <c r="AG32" s="24"/>
      <c r="AH32" s="24"/>
      <c r="AI32" s="24"/>
      <c r="AJ32" s="24"/>
      <c r="AK32" s="26"/>
    </row>
    <row r="34" s="1" customFormat="1" customHeight="1" spans="1:35">
      <c r="A34" s="2"/>
      <c r="B34" s="3"/>
      <c r="C34" s="2"/>
      <c r="D34" s="2"/>
      <c r="E34" s="4"/>
      <c r="F34" s="4"/>
      <c r="G34" s="5"/>
      <c r="H34" s="5"/>
      <c r="I34" s="5"/>
      <c r="J34" s="5"/>
      <c r="K34" s="5"/>
      <c r="L34" s="6"/>
      <c r="M34" s="6"/>
      <c r="N34" s="7"/>
      <c r="O34" s="7"/>
      <c r="P34" s="8"/>
      <c r="Q34" s="7"/>
      <c r="R34" s="8"/>
      <c r="S34" s="7"/>
      <c r="AA34" s="9"/>
      <c r="AB34" s="72" t="s">
        <v>229</v>
      </c>
      <c r="AC34" s="72" t="s">
        <v>230</v>
      </c>
      <c r="AD34" s="72" t="s">
        <v>231</v>
      </c>
      <c r="AE34" s="72" t="s">
        <v>232</v>
      </c>
    </row>
    <row r="35" s="1" customFormat="1" customHeight="1" spans="1:35">
      <c r="A35" s="2"/>
      <c r="B35" s="3"/>
      <c r="C35" s="2"/>
      <c r="D35" s="73" t="s">
        <v>233</v>
      </c>
      <c r="E35" s="4"/>
      <c r="F35" s="4"/>
      <c r="G35" s="5"/>
      <c r="H35" s="74" t="s">
        <v>234</v>
      </c>
      <c r="I35" s="74"/>
      <c r="J35" s="74"/>
      <c r="K35" s="74"/>
      <c r="L35" s="6"/>
      <c r="M35" s="6"/>
      <c r="N35" s="7"/>
      <c r="O35" s="7"/>
      <c r="P35" s="8"/>
      <c r="Q35" s="7"/>
      <c r="R35" s="8"/>
      <c r="S35" s="7"/>
      <c r="T35" s="75" t="s">
        <v>235</v>
      </c>
      <c r="U35" s="75"/>
      <c r="V35" s="75"/>
      <c r="W35" s="76"/>
      <c r="X35" s="77" t="s">
        <v>233</v>
      </c>
      <c r="Y35" s="77"/>
      <c r="Z35" s="77"/>
      <c r="AA35" s="78"/>
      <c r="AB35" s="79">
        <v>2300</v>
      </c>
      <c r="AC35" s="79">
        <v>615</v>
      </c>
      <c r="AD35" s="79">
        <v>938</v>
      </c>
      <c r="AE35" s="80">
        <v>1347</v>
      </c>
    </row>
    <row r="36" s="1" customFormat="1" customHeight="1" spans="1:35">
      <c r="A36" s="2"/>
      <c r="B36" s="3"/>
      <c r="C36" s="2"/>
      <c r="D36" s="73" t="s">
        <v>236</v>
      </c>
      <c r="E36" s="4"/>
      <c r="F36" s="4"/>
      <c r="G36" s="5"/>
      <c r="H36" s="74" t="s">
        <v>237</v>
      </c>
      <c r="I36" s="74"/>
      <c r="J36" s="74"/>
      <c r="K36" s="74"/>
      <c r="L36" s="6"/>
      <c r="M36" s="6"/>
      <c r="N36" s="7"/>
      <c r="O36" s="7"/>
      <c r="P36" s="8"/>
      <c r="Q36" s="7"/>
      <c r="R36" s="8"/>
      <c r="S36" s="7"/>
      <c r="T36" s="75" t="s">
        <v>238</v>
      </c>
      <c r="U36" s="75"/>
      <c r="V36" s="75"/>
      <c r="W36" s="76"/>
      <c r="X36" s="81" t="s">
        <v>236</v>
      </c>
      <c r="Y36" s="81"/>
      <c r="Z36" s="81"/>
      <c r="AA36" s="82"/>
      <c r="AB36" s="83"/>
      <c r="AC36" s="83">
        <v>21</v>
      </c>
      <c r="AD36" s="83"/>
      <c r="AE36" s="84"/>
    </row>
    <row r="37" s="1" customFormat="1" customHeight="1" spans="1:35">
      <c r="A37" s="2"/>
      <c r="B37" s="3"/>
      <c r="C37" s="2"/>
      <c r="D37" s="73" t="s">
        <v>239</v>
      </c>
      <c r="E37" s="4"/>
      <c r="F37" s="4"/>
      <c r="G37" s="5"/>
      <c r="H37" s="74" t="s">
        <v>234</v>
      </c>
      <c r="I37" s="74"/>
      <c r="J37" s="74"/>
      <c r="K37" s="74"/>
      <c r="L37" s="6"/>
      <c r="M37" s="6"/>
      <c r="N37" s="7"/>
      <c r="O37" s="7"/>
      <c r="P37" s="8"/>
      <c r="Q37" s="7"/>
      <c r="R37" s="8"/>
      <c r="S37" s="7"/>
      <c r="T37" s="75" t="s">
        <v>240</v>
      </c>
      <c r="U37" s="75"/>
      <c r="V37" s="75"/>
      <c r="W37" s="76"/>
      <c r="X37" s="81" t="s">
        <v>239</v>
      </c>
      <c r="Y37" s="81"/>
      <c r="Z37" s="81"/>
      <c r="AA37" s="82" t="s">
        <v>241</v>
      </c>
      <c r="AB37" s="83">
        <v>47</v>
      </c>
      <c r="AC37" s="83">
        <v>44</v>
      </c>
      <c r="AD37" s="83"/>
      <c r="AE37" s="84"/>
    </row>
    <row r="38" s="1" customFormat="1" customHeight="1" spans="1:35">
      <c r="A38" s="2"/>
      <c r="B38" s="3"/>
      <c r="C38" s="2"/>
      <c r="D38" s="73" t="s">
        <v>242</v>
      </c>
      <c r="E38" s="4"/>
      <c r="F38" s="4"/>
      <c r="G38" s="5"/>
      <c r="H38" s="85">
        <v>2130599</v>
      </c>
      <c r="I38" s="85"/>
      <c r="J38" s="85"/>
      <c r="K38" s="85"/>
      <c r="L38" s="6"/>
      <c r="M38" s="6"/>
      <c r="N38" s="7"/>
      <c r="O38" s="7"/>
      <c r="P38" s="8"/>
      <c r="Q38" s="7"/>
      <c r="R38" s="8"/>
      <c r="S38" s="7"/>
      <c r="T38" s="86" t="s">
        <v>243</v>
      </c>
      <c r="U38" s="86"/>
      <c r="V38" s="86"/>
      <c r="W38" s="87"/>
      <c r="X38" s="81" t="s">
        <v>242</v>
      </c>
      <c r="Y38" s="81"/>
      <c r="Z38" s="81"/>
      <c r="AA38" s="82"/>
      <c r="AB38" s="83"/>
      <c r="AC38" s="83"/>
      <c r="AD38" s="83">
        <v>40</v>
      </c>
      <c r="AE38" s="84">
        <v>30</v>
      </c>
    </row>
    <row r="39" s="1" customFormat="1" customHeight="1" spans="1:35">
      <c r="A39" s="2"/>
      <c r="B39" s="3"/>
      <c r="C39" s="2"/>
      <c r="D39" s="73" t="s">
        <v>244</v>
      </c>
      <c r="E39" s="4"/>
      <c r="F39" s="4"/>
      <c r="G39" s="5"/>
      <c r="H39" s="88" t="s">
        <v>426</v>
      </c>
      <c r="I39" s="74"/>
      <c r="J39" s="74"/>
      <c r="K39" s="74"/>
      <c r="L39" s="89"/>
      <c r="M39" s="89"/>
      <c r="N39" s="90"/>
      <c r="O39" s="90"/>
      <c r="P39" s="91"/>
      <c r="Q39" s="90"/>
      <c r="R39" s="91"/>
      <c r="S39" s="90"/>
      <c r="T39" s="75" t="s">
        <v>246</v>
      </c>
      <c r="U39" s="75"/>
      <c r="V39" s="75"/>
      <c r="W39" s="76"/>
      <c r="X39" s="81" t="s">
        <v>244</v>
      </c>
      <c r="Y39" s="81"/>
      <c r="Z39" s="81"/>
      <c r="AA39" s="82"/>
      <c r="AB39" s="83"/>
      <c r="AC39" s="83"/>
      <c r="AD39" s="83"/>
      <c r="AE39" s="84">
        <v>120</v>
      </c>
    </row>
    <row r="40" s="1" customFormat="1" customHeight="1" spans="1:35">
      <c r="A40" s="2"/>
      <c r="B40" s="3"/>
      <c r="C40" s="2"/>
      <c r="D40" s="92" t="s">
        <v>247</v>
      </c>
      <c r="E40" s="4"/>
      <c r="F40" s="4"/>
      <c r="G40" s="5"/>
      <c r="H40" s="88" t="s">
        <v>248</v>
      </c>
      <c r="I40" s="74"/>
      <c r="J40" s="74"/>
      <c r="K40" s="74"/>
      <c r="L40" s="89"/>
      <c r="M40" s="89"/>
      <c r="N40" s="90"/>
      <c r="O40" s="90"/>
      <c r="P40" s="91"/>
      <c r="Q40" s="90"/>
      <c r="R40" s="91"/>
      <c r="S40" s="90"/>
      <c r="T40" s="75" t="s">
        <v>249</v>
      </c>
      <c r="U40" s="75"/>
      <c r="V40" s="75"/>
      <c r="W40" s="76"/>
      <c r="X40" s="93" t="s">
        <v>247</v>
      </c>
      <c r="Y40" s="93"/>
      <c r="Z40" s="93"/>
      <c r="AA40" s="94"/>
      <c r="AB40" s="83"/>
      <c r="AC40" s="83"/>
      <c r="AD40" s="83"/>
      <c r="AE40" s="84">
        <v>180</v>
      </c>
    </row>
    <row r="41" s="1" customFormat="1" customHeight="1" spans="1:35">
      <c r="A41" s="2"/>
      <c r="B41" s="3"/>
      <c r="C41" s="2"/>
      <c r="D41" s="95" t="s">
        <v>250</v>
      </c>
      <c r="E41" s="4"/>
      <c r="F41" s="4"/>
      <c r="G41" s="5"/>
      <c r="H41" s="96" t="s">
        <v>251</v>
      </c>
      <c r="I41" s="97"/>
      <c r="J41" s="97"/>
      <c r="K41" s="97"/>
      <c r="L41" s="89"/>
      <c r="M41" s="89"/>
      <c r="N41" s="90"/>
      <c r="O41" s="90"/>
      <c r="P41" s="91"/>
      <c r="Q41" s="90"/>
      <c r="R41" s="91"/>
      <c r="S41" s="90"/>
      <c r="T41" s="98" t="s">
        <v>252</v>
      </c>
      <c r="U41" s="99"/>
      <c r="V41" s="99"/>
      <c r="W41" s="100"/>
      <c r="X41" s="93" t="s">
        <v>250</v>
      </c>
      <c r="Y41" s="93"/>
      <c r="Z41" s="93"/>
      <c r="AA41" s="94"/>
      <c r="AB41" s="83"/>
      <c r="AC41" s="83"/>
      <c r="AD41" s="83"/>
      <c r="AE41" s="84">
        <v>100</v>
      </c>
    </row>
    <row r="42" s="1" customFormat="1" customHeight="1" spans="1:35">
      <c r="A42" s="2"/>
      <c r="B42" s="3"/>
      <c r="C42" s="2"/>
      <c r="D42" s="101" t="s">
        <v>253</v>
      </c>
      <c r="E42" s="4"/>
      <c r="F42" s="4"/>
      <c r="G42" s="5"/>
      <c r="H42" s="102">
        <v>2130599</v>
      </c>
      <c r="I42" s="103"/>
      <c r="J42" s="103"/>
      <c r="K42" s="103"/>
      <c r="L42" s="104"/>
      <c r="M42" s="104"/>
      <c r="N42" s="105"/>
      <c r="O42" s="105"/>
      <c r="P42" s="106"/>
      <c r="Q42" s="105"/>
      <c r="R42" s="106"/>
      <c r="S42" s="105"/>
      <c r="T42" s="107" t="s">
        <v>249</v>
      </c>
      <c r="U42" s="107"/>
      <c r="V42" s="107"/>
      <c r="W42" s="108"/>
      <c r="X42" s="93" t="s">
        <v>253</v>
      </c>
      <c r="Y42" s="93"/>
      <c r="Z42" s="93"/>
      <c r="AA42" s="94"/>
      <c r="AB42" s="83"/>
      <c r="AC42" s="83"/>
      <c r="AD42" s="83"/>
      <c r="AE42" s="84">
        <v>10</v>
      </c>
    </row>
    <row r="43" s="1" customFormat="1" customHeight="1" spans="1:35">
      <c r="A43" s="2"/>
      <c r="B43" s="3"/>
      <c r="C43" s="2"/>
      <c r="D43" s="2"/>
      <c r="E43" s="4"/>
      <c r="F43" s="4"/>
      <c r="G43" s="5"/>
      <c r="H43" s="5"/>
      <c r="I43" s="5"/>
      <c r="J43" s="5"/>
      <c r="K43" s="5"/>
      <c r="L43" s="6"/>
      <c r="M43" s="6"/>
      <c r="N43" s="7"/>
      <c r="O43" s="7"/>
      <c r="P43" s="8"/>
      <c r="Q43" s="7"/>
      <c r="R43" s="8"/>
      <c r="S43" s="7"/>
      <c r="X43" s="23" t="s">
        <v>213</v>
      </c>
      <c r="Y43" s="23"/>
      <c r="Z43" s="23"/>
      <c r="AA43" s="109"/>
      <c r="AB43" s="110">
        <v>20</v>
      </c>
      <c r="AC43" s="110">
        <v>6</v>
      </c>
      <c r="AD43" s="110">
        <v>9</v>
      </c>
      <c r="AE43" s="111">
        <v>25</v>
      </c>
      <c r="AG43" s="112"/>
      <c r="AH43" s="113"/>
      <c r="AI43" s="113"/>
    </row>
    <row r="44" s="1" customFormat="1" customHeight="1" spans="1:35">
      <c r="A44" s="2"/>
      <c r="B44" s="3"/>
      <c r="C44" s="2"/>
      <c r="D44" s="2"/>
      <c r="E44" s="4"/>
      <c r="F44" s="4"/>
      <c r="G44" s="5"/>
      <c r="H44" s="5"/>
      <c r="I44" s="5"/>
      <c r="J44" s="5"/>
      <c r="K44" s="5"/>
      <c r="L44" s="6"/>
      <c r="M44" s="6"/>
      <c r="N44" s="7"/>
      <c r="O44" s="7"/>
      <c r="P44" s="8"/>
      <c r="Q44" s="7"/>
      <c r="R44" s="8"/>
      <c r="S44" s="7"/>
      <c r="X44" s="114" t="s">
        <v>30</v>
      </c>
      <c r="Y44" s="105"/>
      <c r="Z44" s="105"/>
      <c r="AA44" s="115"/>
      <c r="AB44" s="116">
        <f>SUM(AB35:AB43)</f>
        <v>2367</v>
      </c>
      <c r="AC44" s="116">
        <f>SUM(AC35:AC43)</f>
        <v>686</v>
      </c>
      <c r="AD44" s="116">
        <f>SUM(AD35:AD43)</f>
        <v>987</v>
      </c>
      <c r="AE44" s="116">
        <f>SUM(AE35:AE43)</f>
        <v>1812</v>
      </c>
      <c r="AF44" s="117">
        <f>SUM(AB44:AE44)</f>
        <v>5852</v>
      </c>
    </row>
  </sheetData>
  <mergeCells count="119">
    <mergeCell ref="T9:X9"/>
    <mergeCell ref="B10:F10"/>
    <mergeCell ref="L10:S10"/>
    <mergeCell ref="B14:F14"/>
    <mergeCell ref="L14:S14"/>
    <mergeCell ref="B27:F27"/>
    <mergeCell ref="L27:S27"/>
    <mergeCell ref="H35:K35"/>
    <mergeCell ref="T35:W35"/>
    <mergeCell ref="X35:Z35"/>
    <mergeCell ref="H36:K36"/>
    <mergeCell ref="T36:W36"/>
    <mergeCell ref="X36:Z36"/>
    <mergeCell ref="H37:K37"/>
    <mergeCell ref="T37:W37"/>
    <mergeCell ref="X37:Z37"/>
    <mergeCell ref="H38:K38"/>
    <mergeCell ref="T38:W38"/>
    <mergeCell ref="X38:Z38"/>
    <mergeCell ref="H39:K39"/>
    <mergeCell ref="T39:W39"/>
    <mergeCell ref="X39:Z39"/>
    <mergeCell ref="H40:K40"/>
    <mergeCell ref="T40:W40"/>
    <mergeCell ref="X40:Z40"/>
    <mergeCell ref="H41:K41"/>
    <mergeCell ref="T41:W41"/>
    <mergeCell ref="X41:Z41"/>
    <mergeCell ref="H42:K42"/>
    <mergeCell ref="T42:W42"/>
    <mergeCell ref="X42:Z42"/>
    <mergeCell ref="X43:Z43"/>
    <mergeCell ref="X44:Z44"/>
    <mergeCell ref="A2:A5"/>
    <mergeCell ref="A6:A8"/>
    <mergeCell ref="A11:A13"/>
    <mergeCell ref="A15:A17"/>
    <mergeCell ref="A18:A20"/>
    <mergeCell ref="A21:A23"/>
    <mergeCell ref="A24:A26"/>
    <mergeCell ref="A30:A32"/>
    <mergeCell ref="D2:D5"/>
    <mergeCell ref="D6:D8"/>
    <mergeCell ref="D11:D13"/>
    <mergeCell ref="D15:D17"/>
    <mergeCell ref="D18:D20"/>
    <mergeCell ref="D21:D23"/>
    <mergeCell ref="D24:D26"/>
    <mergeCell ref="G2:G5"/>
    <mergeCell ref="G6:G8"/>
    <mergeCell ref="G11:G13"/>
    <mergeCell ref="G15:G17"/>
    <mergeCell ref="G18:G20"/>
    <mergeCell ref="G21:G23"/>
    <mergeCell ref="G24:G26"/>
    <mergeCell ref="G30:G32"/>
    <mergeCell ref="H2:H5"/>
    <mergeCell ref="H6:H8"/>
    <mergeCell ref="H11:H13"/>
    <mergeCell ref="H15:H17"/>
    <mergeCell ref="H18:H20"/>
    <mergeCell ref="H21:H23"/>
    <mergeCell ref="H24:H26"/>
    <mergeCell ref="H30:H32"/>
    <mergeCell ref="I2:I5"/>
    <mergeCell ref="I6:I8"/>
    <mergeCell ref="I11:I13"/>
    <mergeCell ref="I15:I17"/>
    <mergeCell ref="I18:I20"/>
    <mergeCell ref="I21:I23"/>
    <mergeCell ref="I24:I26"/>
    <mergeCell ref="I30:I32"/>
    <mergeCell ref="J2:J5"/>
    <mergeCell ref="J6:J8"/>
    <mergeCell ref="J11:J13"/>
    <mergeCell ref="J15:J17"/>
    <mergeCell ref="J18:J20"/>
    <mergeCell ref="J21:J23"/>
    <mergeCell ref="J24:J26"/>
    <mergeCell ref="J30:J32"/>
    <mergeCell ref="K2:K5"/>
    <mergeCell ref="K6:K8"/>
    <mergeCell ref="K11:K13"/>
    <mergeCell ref="K15:K17"/>
    <mergeCell ref="K18:K20"/>
    <mergeCell ref="K21:K23"/>
    <mergeCell ref="K24:K26"/>
    <mergeCell ref="K30:K32"/>
    <mergeCell ref="T2:T5"/>
    <mergeCell ref="T6:T8"/>
    <mergeCell ref="T11:T13"/>
    <mergeCell ref="T18:T20"/>
    <mergeCell ref="T21:T23"/>
    <mergeCell ref="T24:T26"/>
    <mergeCell ref="U2:U5"/>
    <mergeCell ref="U6:U8"/>
    <mergeCell ref="U11:U13"/>
    <mergeCell ref="U18:U20"/>
    <mergeCell ref="U21:U23"/>
    <mergeCell ref="U24:U26"/>
    <mergeCell ref="V2:V5"/>
    <mergeCell ref="V6:V8"/>
    <mergeCell ref="V11:V13"/>
    <mergeCell ref="V18:V20"/>
    <mergeCell ref="V21:V23"/>
    <mergeCell ref="V24:V26"/>
    <mergeCell ref="W2:W5"/>
    <mergeCell ref="W6:W8"/>
    <mergeCell ref="W11:W13"/>
    <mergeCell ref="W18:W20"/>
    <mergeCell ref="W21:W23"/>
    <mergeCell ref="W24:W26"/>
    <mergeCell ref="X2:X5"/>
    <mergeCell ref="X6:X8"/>
    <mergeCell ref="X11:X13"/>
    <mergeCell ref="X18:X20"/>
    <mergeCell ref="X21:X23"/>
    <mergeCell ref="X24:X26"/>
    <mergeCell ref="T15:X1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10</vt:i4>
      </vt:variant>
    </vt:vector>
  </HeadingPairs>
  <TitlesOfParts>
    <vt:vector size="10" baseType="lpstr">
      <vt:lpstr>一批项目</vt:lpstr>
      <vt:lpstr>第二批</vt:lpstr>
      <vt:lpstr>结余调整</vt:lpstr>
      <vt:lpstr>资金文</vt:lpstr>
      <vt:lpstr>资金支付比率</vt:lpstr>
      <vt:lpstr>调整资金来源附表</vt:lpstr>
      <vt:lpstr>调整资金来源附表 (2)</vt:lpstr>
      <vt:lpstr>二批项目经济分类</vt:lpstr>
      <vt:lpstr>Sheet2</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阿m</cp:lastModifiedBy>
  <dcterms:created xsi:type="dcterms:W3CDTF">2016-12-02T08:54:00Z</dcterms:created>
  <dcterms:modified xsi:type="dcterms:W3CDTF">2025-12-08T07:25:16Z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E7E8DFD62C804744904F1AF8A35F5102_13</vt:lpwstr>
  </property>
  <property fmtid="{D5CDD505-2E9C-101B-9397-08002B2CF9AE}" pid="4" name="CalculationRule">
    <vt:i4>0</vt:i4>
  </property>
</Properties>
</file>